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75" windowWidth="7980" windowHeight="6495" tabRatio="763" activeTab="5"/>
  </bookViews>
  <sheets>
    <sheet name="10601" sheetId="66" r:id="rId1"/>
    <sheet name="10602" sheetId="67" r:id="rId2"/>
    <sheet name="10610" sheetId="70" r:id="rId3"/>
    <sheet name="10614" sheetId="69" r:id="rId4"/>
    <sheet name="50603" sheetId="71" r:id="rId5"/>
    <sheet name="50604" sheetId="68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xlnm.Print_Area" localSheetId="1">'10602'!$A$1:$G$16</definedName>
    <definedName name="_xlnm.Print_Area" localSheetId="2">'10610'!$A$1:$P$42</definedName>
    <definedName name="_xlnm.Print_Area" localSheetId="4">'50603'!$A$1:$N$42</definedName>
    <definedName name="_xlnm.Print_Area" localSheetId="5">'[1]ANEXO 30 GENERAL 1º TRIMESTRE 2'!$B$1:$L$119</definedName>
    <definedName name="Excel_BuiltIn_Print_Titles" localSheetId="5">'[1]ANEXO 30 GENERAL 1º TRIMESTRE 2'!$1:$15</definedName>
    <definedName name="Print_Area_0" localSheetId="5">'[1]ANEXO 30 GENERAL 1º TRIMESTRE 2'!$B$1:$L$119</definedName>
    <definedName name="Print_Titles_0" localSheetId="5">'[1]ANEXO 30 GENERAL 1º TRIMESTRE 2'!$1:$15</definedName>
    <definedName name="_xlnm.Print_Titles" localSheetId="5">'[1]ANEXO 30 GENERAL 1º TRIMESTRE 2'!$1:$15</definedName>
  </definedNames>
  <calcPr calcId="145621"/>
</workbook>
</file>

<file path=xl/calcChain.xml><?xml version="1.0" encoding="utf-8"?>
<calcChain xmlns="http://schemas.openxmlformats.org/spreadsheetml/2006/main">
  <c r="K42" i="70" l="1"/>
  <c r="K41" i="70"/>
  <c r="K30" i="70"/>
  <c r="K24" i="70"/>
  <c r="K23" i="70" s="1"/>
  <c r="K119" i="68" l="1"/>
  <c r="H119" i="68"/>
  <c r="L119" i="68" s="1"/>
  <c r="E119" i="68"/>
  <c r="K113" i="68"/>
  <c r="H113" i="68"/>
  <c r="L113" i="68" s="1"/>
  <c r="E113" i="68"/>
  <c r="K112" i="68"/>
  <c r="H112" i="68"/>
  <c r="L112" i="68" s="1"/>
  <c r="E112" i="68"/>
  <c r="K111" i="68"/>
  <c r="H111" i="68"/>
  <c r="L111" i="68" s="1"/>
  <c r="E111" i="68"/>
  <c r="K107" i="68"/>
  <c r="H107" i="68"/>
  <c r="L107" i="68" s="1"/>
  <c r="E107" i="68"/>
  <c r="K106" i="68"/>
  <c r="H106" i="68"/>
  <c r="L106" i="68" s="1"/>
  <c r="E106" i="68"/>
  <c r="K105" i="68"/>
  <c r="H105" i="68"/>
  <c r="L105" i="68" s="1"/>
  <c r="E105" i="68"/>
  <c r="J101" i="68"/>
  <c r="K101" i="68" s="1"/>
  <c r="G101" i="68"/>
  <c r="H101" i="68" s="1"/>
  <c r="F101" i="68"/>
  <c r="D101" i="68"/>
  <c r="C101" i="68"/>
  <c r="E101" i="68" s="1"/>
  <c r="K100" i="68"/>
  <c r="J100" i="68"/>
  <c r="I100" i="68"/>
  <c r="G100" i="68"/>
  <c r="H100" i="68" s="1"/>
  <c r="F100" i="68"/>
  <c r="D100" i="68"/>
  <c r="C100" i="68"/>
  <c r="E100" i="68" s="1"/>
  <c r="J99" i="68"/>
  <c r="I99" i="68"/>
  <c r="K99" i="68" s="1"/>
  <c r="G99" i="68"/>
  <c r="H99" i="68" s="1"/>
  <c r="F99" i="68"/>
  <c r="E99" i="68"/>
  <c r="D99" i="68"/>
  <c r="C99" i="68"/>
  <c r="K95" i="68"/>
  <c r="J95" i="68"/>
  <c r="I95" i="68"/>
  <c r="G95" i="68"/>
  <c r="H95" i="68" s="1"/>
  <c r="F95" i="68"/>
  <c r="D95" i="68"/>
  <c r="C95" i="68"/>
  <c r="E95" i="68" s="1"/>
  <c r="L95" i="68" s="1"/>
  <c r="J94" i="68"/>
  <c r="I94" i="68"/>
  <c r="K94" i="68" s="1"/>
  <c r="G94" i="68"/>
  <c r="H94" i="68" s="1"/>
  <c r="F94" i="68"/>
  <c r="E94" i="68"/>
  <c r="D94" i="68"/>
  <c r="C94" i="68"/>
  <c r="K93" i="68"/>
  <c r="J93" i="68"/>
  <c r="I93" i="68"/>
  <c r="G93" i="68"/>
  <c r="H93" i="68" s="1"/>
  <c r="F93" i="68"/>
  <c r="D93" i="68"/>
  <c r="C93" i="68"/>
  <c r="E93" i="68" s="1"/>
  <c r="J92" i="68"/>
  <c r="I92" i="68"/>
  <c r="K92" i="68" s="1"/>
  <c r="G92" i="68"/>
  <c r="H92" i="68" s="1"/>
  <c r="F92" i="68"/>
  <c r="E92" i="68"/>
  <c r="D92" i="68"/>
  <c r="C92" i="68"/>
  <c r="K87" i="68"/>
  <c r="J87" i="68"/>
  <c r="I87" i="68"/>
  <c r="G87" i="68"/>
  <c r="H87" i="68" s="1"/>
  <c r="F87" i="68"/>
  <c r="D87" i="68"/>
  <c r="C87" i="68"/>
  <c r="E87" i="68" s="1"/>
  <c r="L87" i="68" s="1"/>
  <c r="J86" i="68"/>
  <c r="I86" i="68"/>
  <c r="K86" i="68" s="1"/>
  <c r="G86" i="68"/>
  <c r="H86" i="68" s="1"/>
  <c r="F86" i="68"/>
  <c r="E86" i="68"/>
  <c r="D86" i="68"/>
  <c r="C86" i="68"/>
  <c r="J85" i="68"/>
  <c r="I85" i="68"/>
  <c r="K85" i="68" s="1"/>
  <c r="G85" i="68"/>
  <c r="H85" i="68" s="1"/>
  <c r="F85" i="68"/>
  <c r="D85" i="68"/>
  <c r="C85" i="68"/>
  <c r="E85" i="68" s="1"/>
  <c r="J84" i="68"/>
  <c r="I84" i="68"/>
  <c r="K84" i="68" s="1"/>
  <c r="G84" i="68"/>
  <c r="H84" i="68" s="1"/>
  <c r="F84" i="68"/>
  <c r="E84" i="68"/>
  <c r="D84" i="68"/>
  <c r="C84" i="68"/>
  <c r="K83" i="68"/>
  <c r="J83" i="68"/>
  <c r="I83" i="68"/>
  <c r="G83" i="68"/>
  <c r="H83" i="68" s="1"/>
  <c r="F83" i="68"/>
  <c r="D83" i="68"/>
  <c r="C83" i="68"/>
  <c r="E83" i="68" s="1"/>
  <c r="J79" i="68"/>
  <c r="I79" i="68"/>
  <c r="K79" i="68" s="1"/>
  <c r="G79" i="68"/>
  <c r="H79" i="68" s="1"/>
  <c r="F79" i="68"/>
  <c r="E79" i="68"/>
  <c r="D79" i="68"/>
  <c r="C79" i="68"/>
  <c r="K78" i="68"/>
  <c r="J78" i="68"/>
  <c r="I78" i="68"/>
  <c r="G78" i="68"/>
  <c r="H78" i="68" s="1"/>
  <c r="F78" i="68"/>
  <c r="D78" i="68"/>
  <c r="C78" i="68"/>
  <c r="E78" i="68" s="1"/>
  <c r="J77" i="68"/>
  <c r="I77" i="68"/>
  <c r="K77" i="68" s="1"/>
  <c r="G77" i="68"/>
  <c r="H77" i="68" s="1"/>
  <c r="F77" i="68"/>
  <c r="E77" i="68"/>
  <c r="L77" i="68" s="1"/>
  <c r="D77" i="68"/>
  <c r="C77" i="68"/>
  <c r="K76" i="68"/>
  <c r="J76" i="68"/>
  <c r="I76" i="68"/>
  <c r="G76" i="68"/>
  <c r="H76" i="68" s="1"/>
  <c r="F76" i="68"/>
  <c r="D76" i="68"/>
  <c r="C76" i="68"/>
  <c r="E76" i="68" s="1"/>
  <c r="J75" i="68"/>
  <c r="I75" i="68"/>
  <c r="K75" i="68" s="1"/>
  <c r="G75" i="68"/>
  <c r="H75" i="68" s="1"/>
  <c r="F75" i="68"/>
  <c r="E75" i="68"/>
  <c r="D75" i="68"/>
  <c r="C75" i="68"/>
  <c r="K71" i="68"/>
  <c r="J71" i="68"/>
  <c r="I71" i="68"/>
  <c r="G71" i="68"/>
  <c r="H71" i="68" s="1"/>
  <c r="F71" i="68"/>
  <c r="D71" i="68"/>
  <c r="C71" i="68"/>
  <c r="E71" i="68" s="1"/>
  <c r="J70" i="68"/>
  <c r="I70" i="68"/>
  <c r="K70" i="68" s="1"/>
  <c r="G70" i="68"/>
  <c r="H70" i="68" s="1"/>
  <c r="F70" i="68"/>
  <c r="E70" i="68"/>
  <c r="D70" i="68"/>
  <c r="C70" i="68"/>
  <c r="K66" i="68"/>
  <c r="J66" i="68"/>
  <c r="I66" i="68"/>
  <c r="G66" i="68"/>
  <c r="H66" i="68" s="1"/>
  <c r="F66" i="68"/>
  <c r="D66" i="68"/>
  <c r="C66" i="68"/>
  <c r="E66" i="68" s="1"/>
  <c r="J65" i="68"/>
  <c r="I65" i="68"/>
  <c r="K65" i="68" s="1"/>
  <c r="G65" i="68"/>
  <c r="H65" i="68" s="1"/>
  <c r="L65" i="68" s="1"/>
  <c r="F65" i="68"/>
  <c r="D65" i="68"/>
  <c r="C65" i="68"/>
  <c r="J64" i="68"/>
  <c r="K64" i="68" s="1"/>
  <c r="I64" i="68"/>
  <c r="G64" i="68"/>
  <c r="F64" i="68"/>
  <c r="H64" i="68" s="1"/>
  <c r="D64" i="68"/>
  <c r="E64" i="68" s="1"/>
  <c r="L64" i="68" s="1"/>
  <c r="C64" i="68"/>
  <c r="J63" i="68"/>
  <c r="K63" i="68" s="1"/>
  <c r="I63" i="68"/>
  <c r="H63" i="68"/>
  <c r="G63" i="68"/>
  <c r="F63" i="68"/>
  <c r="D63" i="68"/>
  <c r="E63" i="68" s="1"/>
  <c r="C63" i="68"/>
  <c r="J62" i="68"/>
  <c r="K62" i="68" s="1"/>
  <c r="I62" i="68"/>
  <c r="G62" i="68"/>
  <c r="F62" i="68"/>
  <c r="H62" i="68" s="1"/>
  <c r="D62" i="68"/>
  <c r="E62" i="68" s="1"/>
  <c r="C62" i="68"/>
  <c r="J61" i="68"/>
  <c r="K61" i="68" s="1"/>
  <c r="I61" i="68"/>
  <c r="H61" i="68"/>
  <c r="G61" i="68"/>
  <c r="F61" i="68"/>
  <c r="D61" i="68"/>
  <c r="E61" i="68" s="1"/>
  <c r="L61" i="68" s="1"/>
  <c r="C61" i="68"/>
  <c r="J60" i="68"/>
  <c r="K60" i="68" s="1"/>
  <c r="I60" i="68"/>
  <c r="H60" i="68"/>
  <c r="G60" i="68"/>
  <c r="F60" i="68"/>
  <c r="D60" i="68"/>
  <c r="E60" i="68" s="1"/>
  <c r="L60" i="68" s="1"/>
  <c r="C60" i="68"/>
  <c r="J59" i="68"/>
  <c r="K59" i="68" s="1"/>
  <c r="I59" i="68"/>
  <c r="H59" i="68"/>
  <c r="G59" i="68"/>
  <c r="F59" i="68"/>
  <c r="D59" i="68"/>
  <c r="E59" i="68" s="1"/>
  <c r="L59" i="68" s="1"/>
  <c r="C59" i="68"/>
  <c r="J58" i="68"/>
  <c r="K58" i="68" s="1"/>
  <c r="I58" i="68"/>
  <c r="H58" i="68"/>
  <c r="G58" i="68"/>
  <c r="F58" i="68"/>
  <c r="D58" i="68"/>
  <c r="E58" i="68" s="1"/>
  <c r="C58" i="68"/>
  <c r="J57" i="68"/>
  <c r="K57" i="68" s="1"/>
  <c r="I57" i="68"/>
  <c r="G57" i="68"/>
  <c r="F57" i="68"/>
  <c r="H57" i="68" s="1"/>
  <c r="D57" i="68"/>
  <c r="E57" i="68" s="1"/>
  <c r="C57" i="68"/>
  <c r="J56" i="68"/>
  <c r="K56" i="68" s="1"/>
  <c r="I56" i="68"/>
  <c r="G56" i="68"/>
  <c r="F56" i="68"/>
  <c r="H56" i="68" s="1"/>
  <c r="D56" i="68"/>
  <c r="E56" i="68" s="1"/>
  <c r="C56" i="68"/>
  <c r="J52" i="68"/>
  <c r="K52" i="68" s="1"/>
  <c r="I52" i="68"/>
  <c r="G52" i="68"/>
  <c r="F52" i="68"/>
  <c r="H52" i="68" s="1"/>
  <c r="D52" i="68"/>
  <c r="E52" i="68" s="1"/>
  <c r="C52" i="68"/>
  <c r="I51" i="68"/>
  <c r="K51" i="68" s="1"/>
  <c r="G51" i="68"/>
  <c r="H51" i="68" s="1"/>
  <c r="F51" i="68"/>
  <c r="D51" i="68"/>
  <c r="C51" i="68"/>
  <c r="E51" i="68" s="1"/>
  <c r="L51" i="68" s="1"/>
  <c r="J50" i="68"/>
  <c r="I50" i="68"/>
  <c r="K50" i="68" s="1"/>
  <c r="G50" i="68"/>
  <c r="H50" i="68" s="1"/>
  <c r="F50" i="68"/>
  <c r="D50" i="68"/>
  <c r="C50" i="68"/>
  <c r="E50" i="68" s="1"/>
  <c r="L50" i="68" s="1"/>
  <c r="J49" i="68"/>
  <c r="I49" i="68"/>
  <c r="K49" i="68" s="1"/>
  <c r="G49" i="68"/>
  <c r="H49" i="68" s="1"/>
  <c r="F49" i="68"/>
  <c r="D49" i="68"/>
  <c r="C49" i="68"/>
  <c r="E49" i="68" s="1"/>
  <c r="L49" i="68" s="1"/>
  <c r="J48" i="68"/>
  <c r="I48" i="68"/>
  <c r="K48" i="68" s="1"/>
  <c r="G48" i="68"/>
  <c r="H48" i="68" s="1"/>
  <c r="F48" i="68"/>
  <c r="D48" i="68"/>
  <c r="C48" i="68"/>
  <c r="E48" i="68" s="1"/>
  <c r="L48" i="68" s="1"/>
  <c r="J47" i="68"/>
  <c r="I47" i="68"/>
  <c r="K47" i="68" s="1"/>
  <c r="G47" i="68"/>
  <c r="H47" i="68" s="1"/>
  <c r="F47" i="68"/>
  <c r="D47" i="68"/>
  <c r="C47" i="68"/>
  <c r="E47" i="68" s="1"/>
  <c r="L47" i="68" s="1"/>
  <c r="J46" i="68"/>
  <c r="I46" i="68"/>
  <c r="K46" i="68" s="1"/>
  <c r="G46" i="68"/>
  <c r="H46" i="68" s="1"/>
  <c r="F46" i="68"/>
  <c r="D46" i="68"/>
  <c r="C46" i="68"/>
  <c r="E46" i="68" s="1"/>
  <c r="L46" i="68" s="1"/>
  <c r="J45" i="68"/>
  <c r="I45" i="68"/>
  <c r="K45" i="68" s="1"/>
  <c r="G45" i="68"/>
  <c r="H45" i="68" s="1"/>
  <c r="F45" i="68"/>
  <c r="D45" i="68"/>
  <c r="C45" i="68"/>
  <c r="E45" i="68" s="1"/>
  <c r="L45" i="68" s="1"/>
  <c r="J44" i="68"/>
  <c r="I44" i="68"/>
  <c r="K44" i="68" s="1"/>
  <c r="G44" i="68"/>
  <c r="H44" i="68" s="1"/>
  <c r="F44" i="68"/>
  <c r="D44" i="68"/>
  <c r="C44" i="68"/>
  <c r="E44" i="68" s="1"/>
  <c r="L44" i="68" s="1"/>
  <c r="J43" i="68"/>
  <c r="I43" i="68"/>
  <c r="K43" i="68" s="1"/>
  <c r="G43" i="68"/>
  <c r="H43" i="68" s="1"/>
  <c r="F43" i="68"/>
  <c r="D43" i="68"/>
  <c r="C43" i="68"/>
  <c r="E43" i="68" s="1"/>
  <c r="L43" i="68" s="1"/>
  <c r="J42" i="68"/>
  <c r="I42" i="68"/>
  <c r="K42" i="68" s="1"/>
  <c r="G42" i="68"/>
  <c r="H42" i="68" s="1"/>
  <c r="F42" i="68"/>
  <c r="D42" i="68"/>
  <c r="C42" i="68"/>
  <c r="E42" i="68" s="1"/>
  <c r="L42" i="68" s="1"/>
  <c r="J41" i="68"/>
  <c r="I41" i="68"/>
  <c r="K41" i="68" s="1"/>
  <c r="G41" i="68"/>
  <c r="H41" i="68" s="1"/>
  <c r="F41" i="68"/>
  <c r="D41" i="68"/>
  <c r="C41" i="68"/>
  <c r="E41" i="68" s="1"/>
  <c r="L41" i="68" s="1"/>
  <c r="J40" i="68"/>
  <c r="I40" i="68"/>
  <c r="K40" i="68" s="1"/>
  <c r="G40" i="68"/>
  <c r="H40" i="68" s="1"/>
  <c r="F40" i="68"/>
  <c r="D40" i="68"/>
  <c r="C40" i="68"/>
  <c r="E40" i="68" s="1"/>
  <c r="L40" i="68" s="1"/>
  <c r="J39" i="68"/>
  <c r="I39" i="68"/>
  <c r="K39" i="68" s="1"/>
  <c r="G39" i="68"/>
  <c r="H39" i="68" s="1"/>
  <c r="F39" i="68"/>
  <c r="D39" i="68"/>
  <c r="C39" i="68"/>
  <c r="E39" i="68" s="1"/>
  <c r="L39" i="68" s="1"/>
  <c r="J38" i="68"/>
  <c r="I38" i="68"/>
  <c r="K38" i="68" s="1"/>
  <c r="G38" i="68"/>
  <c r="H38" i="68" s="1"/>
  <c r="F38" i="68"/>
  <c r="D38" i="68"/>
  <c r="C38" i="68"/>
  <c r="E38" i="68" s="1"/>
  <c r="L38" i="68" s="1"/>
  <c r="J37" i="68"/>
  <c r="I37" i="68"/>
  <c r="K37" i="68" s="1"/>
  <c r="G37" i="68"/>
  <c r="H37" i="68" s="1"/>
  <c r="F37" i="68"/>
  <c r="D37" i="68"/>
  <c r="C37" i="68"/>
  <c r="E37" i="68" s="1"/>
  <c r="L37" i="68" s="1"/>
  <c r="J36" i="68"/>
  <c r="I36" i="68"/>
  <c r="K36" i="68" s="1"/>
  <c r="G36" i="68"/>
  <c r="H36" i="68" s="1"/>
  <c r="F36" i="68"/>
  <c r="D36" i="68"/>
  <c r="C36" i="68"/>
  <c r="E36" i="68" s="1"/>
  <c r="L36" i="68" s="1"/>
  <c r="J35" i="68"/>
  <c r="I35" i="68"/>
  <c r="K35" i="68" s="1"/>
  <c r="G35" i="68"/>
  <c r="H35" i="68" s="1"/>
  <c r="F35" i="68"/>
  <c r="D35" i="68"/>
  <c r="C35" i="68"/>
  <c r="E35" i="68" s="1"/>
  <c r="L35" i="68" s="1"/>
  <c r="J34" i="68"/>
  <c r="I34" i="68"/>
  <c r="K34" i="68" s="1"/>
  <c r="G34" i="68"/>
  <c r="H34" i="68" s="1"/>
  <c r="F34" i="68"/>
  <c r="D34" i="68"/>
  <c r="C34" i="68"/>
  <c r="E34" i="68" s="1"/>
  <c r="L34" i="68" s="1"/>
  <c r="J33" i="68"/>
  <c r="I33" i="68"/>
  <c r="K33" i="68" s="1"/>
  <c r="G33" i="68"/>
  <c r="H33" i="68" s="1"/>
  <c r="F33" i="68"/>
  <c r="D33" i="68"/>
  <c r="C33" i="68"/>
  <c r="E33" i="68" s="1"/>
  <c r="L33" i="68" s="1"/>
  <c r="J32" i="68"/>
  <c r="I32" i="68"/>
  <c r="K32" i="68" s="1"/>
  <c r="G32" i="68"/>
  <c r="H32" i="68" s="1"/>
  <c r="F32" i="68"/>
  <c r="D32" i="68"/>
  <c r="C32" i="68"/>
  <c r="E32" i="68" s="1"/>
  <c r="L32" i="68" s="1"/>
  <c r="J31" i="68"/>
  <c r="I31" i="68"/>
  <c r="K31" i="68" s="1"/>
  <c r="G31" i="68"/>
  <c r="H31" i="68" s="1"/>
  <c r="F31" i="68"/>
  <c r="D31" i="68"/>
  <c r="C31" i="68"/>
  <c r="E31" i="68" s="1"/>
  <c r="L31" i="68" s="1"/>
  <c r="J30" i="68"/>
  <c r="I30" i="68"/>
  <c r="K30" i="68" s="1"/>
  <c r="G30" i="68"/>
  <c r="H30" i="68" s="1"/>
  <c r="F30" i="68"/>
  <c r="D30" i="68"/>
  <c r="C30" i="68"/>
  <c r="E30" i="68" s="1"/>
  <c r="L30" i="68" s="1"/>
  <c r="J29" i="68"/>
  <c r="I29" i="68"/>
  <c r="K29" i="68" s="1"/>
  <c r="G29" i="68"/>
  <c r="H29" i="68" s="1"/>
  <c r="F29" i="68"/>
  <c r="D29" i="68"/>
  <c r="C29" i="68"/>
  <c r="E29" i="68" s="1"/>
  <c r="L29" i="68" s="1"/>
  <c r="J28" i="68"/>
  <c r="I28" i="68"/>
  <c r="K28" i="68" s="1"/>
  <c r="G28" i="68"/>
  <c r="H28" i="68" s="1"/>
  <c r="F28" i="68"/>
  <c r="D28" i="68"/>
  <c r="C28" i="68"/>
  <c r="E28" i="68" s="1"/>
  <c r="L28" i="68" s="1"/>
  <c r="J27" i="68"/>
  <c r="I27" i="68"/>
  <c r="K27" i="68" s="1"/>
  <c r="G27" i="68"/>
  <c r="H27" i="68" s="1"/>
  <c r="F27" i="68"/>
  <c r="D27" i="68"/>
  <c r="C27" i="68"/>
  <c r="E27" i="68" s="1"/>
  <c r="L27" i="68" s="1"/>
  <c r="J26" i="68"/>
  <c r="I26" i="68"/>
  <c r="K26" i="68" s="1"/>
  <c r="G26" i="68"/>
  <c r="H26" i="68" s="1"/>
  <c r="F26" i="68"/>
  <c r="D26" i="68"/>
  <c r="C26" i="68"/>
  <c r="E26" i="68" s="1"/>
  <c r="L26" i="68" s="1"/>
  <c r="J25" i="68"/>
  <c r="I25" i="68"/>
  <c r="K25" i="68" s="1"/>
  <c r="G25" i="68"/>
  <c r="H25" i="68" s="1"/>
  <c r="F25" i="68"/>
  <c r="D25" i="68"/>
  <c r="C25" i="68"/>
  <c r="E25" i="68" s="1"/>
  <c r="L25" i="68" s="1"/>
  <c r="J24" i="68"/>
  <c r="I24" i="68"/>
  <c r="K24" i="68" s="1"/>
  <c r="G24" i="68"/>
  <c r="H24" i="68" s="1"/>
  <c r="F24" i="68"/>
  <c r="D24" i="68"/>
  <c r="C24" i="68"/>
  <c r="E24" i="68" s="1"/>
  <c r="L24" i="68" s="1"/>
  <c r="J23" i="68"/>
  <c r="I23" i="68"/>
  <c r="K23" i="68" s="1"/>
  <c r="G23" i="68"/>
  <c r="H23" i="68" s="1"/>
  <c r="F23" i="68"/>
  <c r="D23" i="68"/>
  <c r="C23" i="68"/>
  <c r="E23" i="68" s="1"/>
  <c r="L23" i="68" s="1"/>
  <c r="J22" i="68"/>
  <c r="I22" i="68"/>
  <c r="K22" i="68" s="1"/>
  <c r="G22" i="68"/>
  <c r="H22" i="68" s="1"/>
  <c r="F22" i="68"/>
  <c r="D22" i="68"/>
  <c r="C22" i="68"/>
  <c r="E22" i="68" s="1"/>
  <c r="L22" i="68" s="1"/>
  <c r="J21" i="68"/>
  <c r="I21" i="68"/>
  <c r="K21" i="68" s="1"/>
  <c r="G21" i="68"/>
  <c r="H21" i="68" s="1"/>
  <c r="F21" i="68"/>
  <c r="D21" i="68"/>
  <c r="C21" i="68"/>
  <c r="E21" i="68" s="1"/>
  <c r="L21" i="68" s="1"/>
  <c r="J20" i="68"/>
  <c r="I20" i="68"/>
  <c r="K20" i="68" s="1"/>
  <c r="G20" i="68"/>
  <c r="H20" i="68" s="1"/>
  <c r="F20" i="68"/>
  <c r="D20" i="68"/>
  <c r="C20" i="68"/>
  <c r="E20" i="68" s="1"/>
  <c r="L20" i="68" s="1"/>
  <c r="K19" i="68"/>
  <c r="J19" i="68"/>
  <c r="I19" i="68"/>
  <c r="G19" i="68"/>
  <c r="H19" i="68" s="1"/>
  <c r="F19" i="68"/>
  <c r="D19" i="68"/>
  <c r="C19" i="68"/>
  <c r="E19" i="68" s="1"/>
  <c r="L19" i="68" s="1"/>
  <c r="K18" i="68"/>
  <c r="J18" i="68"/>
  <c r="I18" i="68"/>
  <c r="G18" i="68"/>
  <c r="H18" i="68" s="1"/>
  <c r="F18" i="68"/>
  <c r="D18" i="68"/>
  <c r="C18" i="68"/>
  <c r="E18" i="68" s="1"/>
  <c r="L18" i="68" s="1"/>
  <c r="L52" i="68" l="1"/>
  <c r="L57" i="68"/>
  <c r="L56" i="68"/>
  <c r="L58" i="68"/>
  <c r="L63" i="68"/>
  <c r="L71" i="68"/>
  <c r="L78" i="68"/>
  <c r="L85" i="68"/>
  <c r="L86" i="68"/>
  <c r="L94" i="68"/>
  <c r="L75" i="68"/>
  <c r="L79" i="68"/>
  <c r="L62" i="68"/>
  <c r="L66" i="68"/>
  <c r="L76" i="68"/>
  <c r="L83" i="68"/>
  <c r="L92" i="68"/>
  <c r="L99" i="68"/>
  <c r="L101" i="68"/>
  <c r="L70" i="68"/>
  <c r="L84" i="68"/>
  <c r="L93" i="68"/>
  <c r="L100" i="68"/>
  <c r="H15" i="67" l="1"/>
  <c r="G15" i="67"/>
  <c r="F15" i="67"/>
  <c r="E15" i="67"/>
  <c r="K15" i="67" s="1"/>
  <c r="D15" i="67"/>
  <c r="K14" i="67"/>
  <c r="K13" i="67"/>
  <c r="K12" i="67"/>
  <c r="B32" i="66" l="1"/>
  <c r="B31" i="66"/>
  <c r="D28" i="66"/>
  <c r="D26" i="66"/>
  <c r="D27" i="66" s="1"/>
  <c r="D24" i="66"/>
  <c r="F11" i="66"/>
</calcChain>
</file>

<file path=xl/sharedStrings.xml><?xml version="1.0" encoding="utf-8"?>
<sst xmlns="http://schemas.openxmlformats.org/spreadsheetml/2006/main" count="531" uniqueCount="264">
  <si>
    <t>Unidad de Medida</t>
  </si>
  <si>
    <t>Unidad de Gestión de Consumo</t>
  </si>
  <si>
    <t>Meta Anual</t>
  </si>
  <si>
    <t>Denominación de las Variables</t>
  </si>
  <si>
    <t>CUADRO DE INDICADORES Y METAS</t>
  </si>
  <si>
    <t>Cantidad</t>
  </si>
  <si>
    <t>%</t>
  </si>
  <si>
    <t>C30402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</si>
  <si>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</si>
  <si>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</si>
  <si>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</si>
  <si>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</si>
  <si>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</si>
  <si>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</si>
  <si>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</si>
  <si>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</si>
  <si>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</si>
  <si>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</si>
  <si>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</si>
  <si>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</si>
  <si>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</si>
  <si>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</si>
  <si>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</si>
  <si>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</si>
  <si>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</si>
  <si>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</si>
  <si>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</si>
  <si>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</si>
  <si>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INDICADORES DE CAPACIDAD INSTALADA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</si>
  <si>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</si>
  <si>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</si>
  <si>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</si>
  <si>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</si>
  <si>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</si>
  <si>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</si>
  <si>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</si>
  <si>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</si>
  <si>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</si>
  <si>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</si>
  <si>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</si>
  <si>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</si>
  <si>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</si>
  <si>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</si>
  <si>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</si>
  <si>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</si>
  <si>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</si>
  <si>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</si>
  <si>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</si>
  <si>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</si>
  <si>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</si>
  <si>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</si>
  <si>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</si>
  <si>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H30739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</si>
  <si>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</si>
  <si>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</si>
  <si>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</si>
  <si>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</si>
  <si>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</si>
  <si>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</si>
  <si>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</si>
  <si>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</si>
  <si>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</si>
  <si>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</si>
  <si>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</si>
  <si>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</si>
  <si>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</si>
  <si>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</si>
  <si>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</si>
  <si>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</si>
  <si>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</si>
  <si>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H30667</t>
  </si>
  <si>
    <t>Resultados Alcanzados</t>
  </si>
  <si>
    <t>Primer Trimestre</t>
  </si>
  <si>
    <t>-----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</si>
  <si>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</si>
  <si>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</si>
  <si>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</si>
  <si>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</si>
  <si>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</si>
  <si>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Dirección de Asuntos Legales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</si>
  <si>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</si>
  <si>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</si>
  <si>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</si>
  <si>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</si>
  <si>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</si>
  <si>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>JURIDISCCIÓN……………………………………………06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</si>
  <si>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</si>
  <si>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</si>
  <si>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</si>
  <si>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</si>
  <si>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</si>
  <si>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</si>
  <si>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</si>
  <si>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</si>
  <si>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</si>
  <si>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</si>
  <si>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</si>
  <si>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</si>
  <si>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</si>
  <si>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</si>
  <si>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</si>
  <si>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</si>
  <si>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</si>
  <si>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</si>
  <si>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</si>
  <si>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</si>
  <si>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</si>
  <si>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</si>
  <si>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</si>
  <si>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</si>
  <si>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</si>
  <si>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</si>
  <si>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</si>
  <si>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</si>
  <si>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</si>
  <si>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</si>
  <si>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</si>
  <si>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</si>
  <si>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</si>
  <si>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</si>
  <si>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</si>
  <si>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</si>
  <si>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</si>
  <si>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</si>
  <si>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</si>
  <si>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</si>
  <si>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</si>
  <si>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</si>
  <si>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</si>
  <si>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</si>
  <si>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</si>
  <si>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</si>
  <si>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</si>
  <si>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D.A.A.B.O.</t>
  </si>
  <si>
    <t xml:space="preserve"> </t>
  </si>
  <si>
    <t xml:space="preserve">C.JU.O. : 1.06.01 - </t>
  </si>
  <si>
    <t>CARÁCTER……………………………………………….05</t>
  </si>
  <si>
    <t>UNIDAD ORGANIZATIVA……………………………..….03</t>
  </si>
  <si>
    <t>MINISTERIO DE HACIENDA  :INSTITUTO PROVINCIAL DE JUEGOS Y CASINOS</t>
  </si>
  <si>
    <t>ADMINISTRACIÓN TRIBUTARIA MENDOZA - LEY DE RESPONSABILIDAD FISCAL</t>
  </si>
  <si>
    <t>INFORME CONSOLIDADO DE INDICADORES</t>
  </si>
  <si>
    <t>PLANIF</t>
  </si>
  <si>
    <t>EJEC</t>
  </si>
  <si>
    <t>RATIO</t>
  </si>
  <si>
    <t>RECEPTORIA RODEO DE LA CRUZ</t>
  </si>
  <si>
    <t>RECEPTORIA LUJAN DE CUYO</t>
  </si>
  <si>
    <t>RECEPTORIA LAS HERAS</t>
  </si>
  <si>
    <t>RECEPTORIA LAVALLE</t>
  </si>
  <si>
    <t>RECEPTORIA GODOY CRUZ</t>
  </si>
  <si>
    <t>RECEPTORIA LA CONSULTA</t>
  </si>
  <si>
    <t>RECEPTORIA EUGENIO BUSTOS</t>
  </si>
  <si>
    <t>RECEPTORIA TUPUNGATO</t>
  </si>
  <si>
    <t>DELEGACIÓN ZONA ESTE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</si>
  <si>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</si>
  <si>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</si>
  <si>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</si>
  <si>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</si>
  <si>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</si>
  <si>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</si>
  <si>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</si>
  <si>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</si>
  <si>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MENSURA</t>
  </si>
  <si>
    <t>DELEGACIÓN ZONA SUR</t>
  </si>
  <si>
    <t>FISCALIZACIÓN</t>
  </si>
  <si>
    <t>DELEGACIÓN VALLE DE UCO</t>
  </si>
  <si>
    <t>CARTOGRAFÍA</t>
  </si>
  <si>
    <t>IDEM</t>
  </si>
  <si>
    <t>AUDITORIA</t>
  </si>
  <si>
    <t>EXPLOTACIÓN</t>
  </si>
  <si>
    <t>DIRECCIÓN DE ADMINISTRACIÓN</t>
  </si>
  <si>
    <t>CONTABILIDAD</t>
  </si>
  <si>
    <t>COMPRAS Y CONTRATACIONES</t>
  </si>
  <si>
    <t>BALANCE Y PRESUPUESTO</t>
  </si>
  <si>
    <t>DIRECCIÓN ASUNTOS TÉCNICOS Y JURÍDICOS</t>
  </si>
  <si>
    <t>ASUNTOS LEGALES</t>
  </si>
  <si>
    <t>PROCESOS UNIVERSALES</t>
  </si>
  <si>
    <t>RECURSOS DE REVOCATORIA</t>
  </si>
  <si>
    <t>SISTEMAS</t>
  </si>
  <si>
    <t>SEGURIDAD INFORMÁTICA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</si>
  <si>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</si>
  <si>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</si>
  <si>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</si>
  <si>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</si>
  <si>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</si>
  <si>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</si>
  <si>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</si>
  <si>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DESPACHO</t>
  </si>
  <si>
    <t>COMUNICACIÓN Y PRENSA</t>
  </si>
  <si>
    <t>MINISTERIO DE HACIENDA Y FINANZAS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</si>
  <si>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</si>
  <si>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AREA</t>
  </si>
  <si>
    <t>PROMEDIO DE RATIOS</t>
  </si>
  <si>
    <t>DIRECCION GENERAL DE RENTAS</t>
  </si>
  <si>
    <t>DEPARTAMENTO INTELIGENCIA FISCAL</t>
  </si>
  <si>
    <t>DEPARTAMENTO FISCALIZACIÓN PERMANENTE</t>
  </si>
  <si>
    <t>DEPARTAMENTO FISCALIZACION EXTERNA</t>
  </si>
  <si>
    <t>DEPARTAMENTO PATRIMONIALES E INGRESOS VARIOS</t>
  </si>
  <si>
    <t>DEPARTAMENTO GRANDES CONTRIBUYENTES</t>
  </si>
  <si>
    <t>DEPARTAMENTO CONTACT CENTER</t>
  </si>
  <si>
    <t>RECEPTORIA MAIPU</t>
  </si>
  <si>
    <t>DELEGACION SAN RAFAEL</t>
  </si>
  <si>
    <t>RECEPTORIA MALARGUE</t>
  </si>
  <si>
    <t>DELEGACION VALLE DE UCO</t>
  </si>
  <si>
    <t>RECEPTORIA JUNIN</t>
  </si>
  <si>
    <t>DEPARTAMENTO GESTION DE COBRAZAS ADMINISTRATIVAS</t>
  </si>
  <si>
    <t>DIRECCION GENERAL DE CATASTRO</t>
  </si>
  <si>
    <t>FISICO</t>
  </si>
  <si>
    <t>JURIDICO</t>
  </si>
  <si>
    <t>ECONOMICO</t>
  </si>
  <si>
    <t>DEPOSITO</t>
  </si>
  <si>
    <t>DIRECCION GENERAL DE REGALIAS</t>
  </si>
  <si>
    <t>TESORERIA</t>
  </si>
  <si>
    <t>GESTION ADMINISTRATIVA</t>
  </si>
  <si>
    <t>ASISTENCIA TECNICA Y NORMATIVA</t>
  </si>
  <si>
    <t>RECURSOS JERARQUICOS</t>
  </si>
  <si>
    <t>DIRECCIÓN DE TECNOLOGÍAS DE LA INFORMACIÓN</t>
  </si>
  <si>
    <t>CALIDAD Y GESTION DE PROYECTOS</t>
  </si>
  <si>
    <t>SUBDIRECCIÓN SECRETARÍA GENERAL</t>
  </si>
  <si>
    <t>GESTION DE CALIDAD</t>
  </si>
  <si>
    <t>DEPARTAMENTO CONSEJO LOTEOS</t>
  </si>
  <si>
    <t>CONSEJO DE LOTEOS</t>
  </si>
  <si>
    <t>Expedientes Ingresados de Otras Reparticiones (1)</t>
  </si>
  <si>
    <t>Expedientes Enviados a otros Organismos (1)</t>
  </si>
  <si>
    <t xml:space="preserve">Dictamenes Emitidos en el Periodo </t>
  </si>
  <si>
    <t xml:space="preserve">Consultas por asistencia jurídica en el Periodo </t>
  </si>
  <si>
    <t>C.JU.O. : 1.06.02</t>
  </si>
  <si>
    <t>MINISTERIO DE HACIENDA</t>
  </si>
  <si>
    <t>DIRECCION GENERAL DE PRESUPUESTO</t>
  </si>
  <si>
    <t xml:space="preserve">Cuarto Trimestre </t>
  </si>
  <si>
    <t>Meta 2017</t>
  </si>
  <si>
    <t>Real 2017</t>
  </si>
  <si>
    <t>1º T. Anualiz.18</t>
  </si>
  <si>
    <t>Decretos y/o Resoluciones Informadas y Expedientes Intervenidos s/Presupuesto</t>
  </si>
  <si>
    <t>H00026</t>
  </si>
  <si>
    <t>Expediente sobre Modificaciones de la partida de Personal Intervenidas</t>
  </si>
  <si>
    <t>Decretos y/o Resoluciones Emitidas y Expedientes Intervenidos s/ Coparticipación Municipal</t>
  </si>
  <si>
    <t>Decretos y/o Resoluciones Informadas.</t>
  </si>
  <si>
    <t>CUADRO DE INDICADORES Y METAS  - META ANUAL y   1er TRIMESTRE 2019</t>
  </si>
  <si>
    <t>Proyectos de Normas Legales redactados</t>
  </si>
  <si>
    <t>Resoluciones numeradas</t>
  </si>
  <si>
    <t>Comunicaciones de Normas Legales</t>
  </si>
  <si>
    <t>Publicaciones en Boletin oficial de Normas Legales</t>
  </si>
  <si>
    <t>Publicaciones en Boletin Oficial de Edictos</t>
  </si>
  <si>
    <t>Generación de Expedientes/Oficios/Notas</t>
  </si>
  <si>
    <t>Notificaciones realizadas</t>
  </si>
  <si>
    <t>Envio de correo por correo privado</t>
  </si>
  <si>
    <t>Recepción y reparto de Correo ingresado por Gobernacion</t>
  </si>
  <si>
    <t>2019</t>
  </si>
  <si>
    <r>
      <t>LRF LEY Nº 7.314 - ART. 44 Y 45  - ANEXO 30 ACUERDO 3949 ART. 27 – 1</t>
    </r>
    <r>
      <rPr>
        <b/>
        <vertAlign val="superscript"/>
        <sz val="9"/>
        <color rgb="FF000000"/>
        <rFont val="Verdana"/>
        <family val="2"/>
        <charset val="1"/>
      </rPr>
      <t>º</t>
    </r>
    <r>
      <rPr>
        <b/>
        <sz val="9"/>
        <color rgb="FF000000"/>
        <rFont val="Verdana"/>
        <family val="2"/>
        <charset val="1"/>
      </rPr>
      <t>TRIMESTRE 2019</t>
    </r>
  </si>
  <si>
    <t>RESOLUCIÓN INTERNA ATM Nº 233/17 - INDICADORES DE GESTIÓN</t>
  </si>
  <si>
    <t>ENERO</t>
  </si>
  <si>
    <t>FEBRERO</t>
  </si>
  <si>
    <t>MARZO</t>
  </si>
  <si>
    <t>DEPARTAMENTO ATENCIÓN CONTRIBUYENTES</t>
  </si>
  <si>
    <t>DEPARTAMENTO ACTIVIDADES ECONÓMICAS -</t>
  </si>
  <si>
    <t>DEPARTAMENTO DETERMINACIÓN DE OFICIO -</t>
  </si>
  <si>
    <t>CONSEJO PROFESIONAL</t>
  </si>
  <si>
    <t>RECEPTORIA VILLA ATUEL</t>
  </si>
  <si>
    <t>DELEGACION CIUDAD AUT DE BUENOS AIRES</t>
  </si>
  <si>
    <t>OPERACIONES E INFRAESTRUCTURA</t>
  </si>
  <si>
    <t xml:space="preserve">C.JU.O. : 1.06.14 - </t>
  </si>
  <si>
    <t>DIRECCION ASUNTOS LEGALES</t>
  </si>
  <si>
    <t>C.J.U.O. 1 - 06 - 10 - 1º TRIMESTE 2019</t>
  </si>
  <si>
    <t>Ministerio de Hacienda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</si>
</sst>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#,##0\ _p_t_a"/>
    <numFmt numFmtId="167" formatCode="#,##0.00\ _p_t_a"/>
    <numFmt numFmtId="168" formatCode="_-* #,##0.00\ _€_-;\-* #,##0.00\ _€_-;_-* &quot;-&quot;??\ _€_-;_-@_-"/>
    <numFmt numFmtId="169" formatCode="0_ ;\-0\ "/>
    <numFmt numFmtId="170" formatCode="0.0"/>
    <numFmt numFmtId="171" formatCode="_-* #,##0\ _€_-;\-* #,##0\ _€_-;_-* &quot;-&quot;\ _€_-;_-@_-"/>
    <numFmt numFmtId="172" formatCode="#,##0_ ;\-#,##0\ "/>
    <numFmt numFmtId="173" formatCode="#,##0.00\ _€"/>
    <numFmt numFmtId="174" formatCode="0.00\ %"/>
  </numFmts>
  <fonts count="7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12"/>
      <name val="Times New Roman"/>
      <family val="1"/>
    </font>
    <font>
      <b/>
      <u/>
      <sz val="9"/>
      <name val="Arial"/>
      <family val="2"/>
    </font>
    <font>
      <sz val="9"/>
      <name val="Verdana"/>
      <family val="2"/>
      <charset val="1"/>
    </font>
    <font>
      <b/>
      <sz val="9"/>
      <name val="Verdana"/>
      <family val="2"/>
      <charset val="1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sz val="10"/>
      <name val="Arial"/>
      <family val="2"/>
      <charset val="1"/>
    </font>
    <font>
      <b/>
      <sz val="11"/>
      <color rgb="FF800000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Verdana"/>
      <family val="2"/>
      <charset val="1"/>
    </font>
    <font>
      <b/>
      <sz val="18"/>
      <color rgb="FF000000"/>
      <name val="Calibri"/>
      <family val="2"/>
      <charset val="1"/>
    </font>
    <font>
      <b/>
      <sz val="9"/>
      <color rgb="FF000000"/>
      <name val="Verdana"/>
      <family val="2"/>
      <charset val="1"/>
    </font>
    <font>
      <b/>
      <vertAlign val="superscript"/>
      <sz val="9"/>
      <color rgb="FF000000"/>
      <name val="Verdana"/>
      <family val="2"/>
      <charset val="1"/>
    </font>
    <font>
      <sz val="9"/>
      <color rgb="FF000000"/>
      <name val="Verdana"/>
      <family val="2"/>
      <charset val="1"/>
    </font>
    <font>
      <sz val="10"/>
      <name val="Calibri"/>
      <family val="2"/>
      <charset val="1"/>
    </font>
    <font>
      <sz val="12"/>
      <name val="Times New Roman"/>
      <family val="1"/>
      <charset val="1"/>
    </font>
    <font>
      <b/>
      <sz val="9"/>
      <color rgb="FFFFFFFF"/>
      <name val="Verdana"/>
      <family val="2"/>
      <charset val="1"/>
    </font>
    <font>
      <sz val="11"/>
      <color theme="1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CC9900"/>
        <bgColor rgb="FF808000"/>
      </patternFill>
    </fill>
    <fill>
      <patternFill patternType="solid">
        <fgColor rgb="FF66CCFF"/>
        <bgColor rgb="FF33CCCC"/>
      </patternFill>
    </fill>
  </fills>
  <borders count="8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94">
    <xf numFmtId="0" fontId="0" fillId="0" borderId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4" borderId="0" applyNumberFormat="0" applyBorder="0" applyAlignment="0" applyProtection="0"/>
    <xf numFmtId="0" fontId="29" fillId="16" borderId="1" applyNumberFormat="0" applyAlignment="0" applyProtection="0"/>
    <xf numFmtId="0" fontId="30" fillId="17" borderId="2" applyNumberFormat="0" applyAlignment="0" applyProtection="0"/>
    <xf numFmtId="0" fontId="31" fillId="0" borderId="3" applyNumberFormat="0" applyFill="0" applyAlignment="0" applyProtection="0"/>
    <xf numFmtId="0" fontId="32" fillId="0" borderId="0" applyNumberFormat="0" applyFill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21" borderId="0" applyNumberFormat="0" applyBorder="0" applyAlignment="0" applyProtection="0"/>
    <xf numFmtId="0" fontId="33" fillId="7" borderId="1" applyNumberFormat="0" applyAlignment="0" applyProtection="0"/>
    <xf numFmtId="0" fontId="34" fillId="3" borderId="0" applyNumberFormat="0" applyBorder="0" applyAlignment="0" applyProtection="0"/>
    <xf numFmtId="165" fontId="18" fillId="0" borderId="0" applyFont="0" applyFill="0" applyBorder="0" applyAlignment="0" applyProtection="0"/>
    <xf numFmtId="0" fontId="35" fillId="22" borderId="0" applyNumberFormat="0" applyBorder="0" applyAlignment="0" applyProtection="0"/>
    <xf numFmtId="0" fontId="18" fillId="23" borderId="4" applyNumberFormat="0" applyFont="0" applyAlignment="0" applyProtection="0"/>
    <xf numFmtId="0" fontId="36" fillId="16" borderId="5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32" fillId="0" borderId="8" applyNumberFormat="0" applyFill="0" applyAlignment="0" applyProtection="0"/>
    <xf numFmtId="0" fontId="42" fillId="0" borderId="9" applyNumberFormat="0" applyFill="0" applyAlignment="0" applyProtection="0"/>
    <xf numFmtId="0" fontId="22" fillId="0" borderId="0"/>
    <xf numFmtId="165" fontId="22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26" fillId="0" borderId="0"/>
    <xf numFmtId="9" fontId="26" fillId="0" borderId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8" fillId="0" borderId="0"/>
    <xf numFmtId="0" fontId="18" fillId="0" borderId="0"/>
    <xf numFmtId="165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46" fillId="0" borderId="0"/>
    <xf numFmtId="9" fontId="18" fillId="0" borderId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58" fillId="0" borderId="0"/>
    <xf numFmtId="0" fontId="67" fillId="0" borderId="0"/>
    <xf numFmtId="9" fontId="58" fillId="0" borderId="0" applyBorder="0" applyProtection="0"/>
    <xf numFmtId="0" fontId="69" fillId="0" borderId="0"/>
    <xf numFmtId="44" fontId="69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539">
    <xf numFmtId="0" fontId="0" fillId="0" borderId="0" xfId="0"/>
    <xf numFmtId="0" fontId="21" fillId="0" borderId="0" xfId="0" applyFont="1"/>
    <xf numFmtId="1" fontId="24" fillId="24" borderId="11" xfId="32" applyNumberFormat="1" applyFont="1" applyFill="1" applyBorder="1" applyAlignment="1">
      <alignment horizontal="center" vertical="center"/>
    </xf>
    <xf numFmtId="0" fontId="19" fillId="24" borderId="14" xfId="0" applyFont="1" applyFill="1" applyBorder="1"/>
    <xf numFmtId="1" fontId="24" fillId="24" borderId="15" xfId="32" applyNumberFormat="1" applyFont="1" applyFill="1" applyBorder="1" applyAlignment="1">
      <alignment horizontal="center" vertical="center"/>
    </xf>
    <xf numFmtId="0" fontId="24" fillId="24" borderId="16" xfId="0" applyFont="1" applyFill="1" applyBorder="1" applyAlignment="1">
      <alignment horizontal="center" vertical="center" wrapText="1"/>
    </xf>
    <xf numFmtId="0" fontId="21" fillId="0" borderId="0" xfId="0" applyFont="1" applyBorder="1"/>
    <xf numFmtId="0" fontId="25" fillId="0" borderId="17" xfId="0" applyFont="1" applyBorder="1" applyAlignment="1"/>
    <xf numFmtId="0" fontId="25" fillId="0" borderId="11" xfId="0" applyFont="1" applyBorder="1"/>
    <xf numFmtId="0" fontId="25" fillId="0" borderId="0" xfId="0" applyFont="1"/>
    <xf numFmtId="0" fontId="25" fillId="0" borderId="17" xfId="0" applyFont="1" applyFill="1" applyBorder="1" applyAlignment="1"/>
    <xf numFmtId="0" fontId="25" fillId="0" borderId="0" xfId="0" applyFont="1" applyBorder="1"/>
    <xf numFmtId="0" fontId="0" fillId="25" borderId="23" xfId="0" applyFill="1" applyBorder="1"/>
    <xf numFmtId="0" fontId="0" fillId="25" borderId="15" xfId="0" applyFill="1" applyBorder="1"/>
    <xf numFmtId="0" fontId="25" fillId="26" borderId="15" xfId="0" applyFont="1" applyFill="1" applyBorder="1"/>
    <xf numFmtId="1" fontId="25" fillId="26" borderId="15" xfId="0" applyNumberFormat="1" applyFont="1" applyFill="1" applyBorder="1"/>
    <xf numFmtId="0" fontId="25" fillId="0" borderId="24" xfId="0" applyFont="1" applyBorder="1"/>
    <xf numFmtId="0" fontId="25" fillId="0" borderId="25" xfId="0" applyFont="1" applyBorder="1"/>
    <xf numFmtId="0" fontId="25" fillId="26" borderId="26" xfId="0" applyFont="1" applyFill="1" applyBorder="1"/>
    <xf numFmtId="0" fontId="25" fillId="0" borderId="11" xfId="0" applyFont="1" applyFill="1" applyBorder="1"/>
    <xf numFmtId="0" fontId="25" fillId="0" borderId="20" xfId="0" applyFont="1" applyBorder="1"/>
    <xf numFmtId="0" fontId="25" fillId="0" borderId="27" xfId="0" applyFont="1" applyBorder="1"/>
    <xf numFmtId="0" fontId="21" fillId="0" borderId="0" xfId="0" applyFont="1" applyBorder="1" applyAlignment="1"/>
    <xf numFmtId="0" fontId="21" fillId="0" borderId="32" xfId="0" applyFont="1" applyBorder="1"/>
    <xf numFmtId="0" fontId="20" fillId="0" borderId="0" xfId="0" applyFont="1" applyBorder="1" applyAlignment="1">
      <alignment horizontal="center"/>
    </xf>
    <xf numFmtId="0" fontId="20" fillId="0" borderId="31" xfId="0" applyFont="1" applyBorder="1" applyAlignment="1">
      <alignment vertical="center"/>
    </xf>
    <xf numFmtId="0" fontId="25" fillId="0" borderId="17" xfId="0" applyFont="1" applyBorder="1"/>
    <xf numFmtId="0" fontId="25" fillId="0" borderId="34" xfId="0" applyFont="1" applyBorder="1" applyAlignment="1"/>
    <xf numFmtId="0" fontId="25" fillId="0" borderId="29" xfId="0" applyFont="1" applyBorder="1"/>
    <xf numFmtId="0" fontId="25" fillId="0" borderId="35" xfId="0" applyFont="1" applyBorder="1"/>
    <xf numFmtId="0" fontId="25" fillId="26" borderId="23" xfId="0" applyFont="1" applyFill="1" applyBorder="1"/>
    <xf numFmtId="0" fontId="0" fillId="25" borderId="37" xfId="0" applyFill="1" applyBorder="1"/>
    <xf numFmtId="0" fontId="0" fillId="25" borderId="38" xfId="0" applyFill="1" applyBorder="1"/>
    <xf numFmtId="0" fontId="0" fillId="25" borderId="40" xfId="0" applyFill="1" applyBorder="1"/>
    <xf numFmtId="0" fontId="19" fillId="25" borderId="37" xfId="0" applyFont="1" applyFill="1" applyBorder="1"/>
    <xf numFmtId="0" fontId="19" fillId="25" borderId="38" xfId="0" applyFont="1" applyFill="1" applyBorder="1"/>
    <xf numFmtId="0" fontId="24" fillId="25" borderId="41" xfId="0" applyFont="1" applyFill="1" applyBorder="1" applyAlignment="1"/>
    <xf numFmtId="0" fontId="25" fillId="25" borderId="37" xfId="0" applyFont="1" applyFill="1" applyBorder="1"/>
    <xf numFmtId="0" fontId="24" fillId="25" borderId="42" xfId="0" applyFont="1" applyFill="1" applyBorder="1"/>
    <xf numFmtId="0" fontId="25" fillId="25" borderId="43" xfId="0" applyFont="1" applyFill="1" applyBorder="1"/>
    <xf numFmtId="0" fontId="25" fillId="25" borderId="39" xfId="0" applyFont="1" applyFill="1" applyBorder="1"/>
    <xf numFmtId="0" fontId="25" fillId="0" borderId="34" xfId="0" applyFont="1" applyBorder="1"/>
    <xf numFmtId="0" fontId="25" fillId="0" borderId="19" xfId="0" applyFont="1" applyBorder="1"/>
    <xf numFmtId="0" fontId="25" fillId="0" borderId="12" xfId="0" applyFont="1" applyFill="1" applyBorder="1"/>
    <xf numFmtId="0" fontId="25" fillId="0" borderId="12" xfId="0" applyFont="1" applyBorder="1"/>
    <xf numFmtId="0" fontId="25" fillId="0" borderId="21" xfId="0" applyFont="1" applyBorder="1"/>
    <xf numFmtId="0" fontId="24" fillId="25" borderId="41" xfId="0" applyFont="1" applyFill="1" applyBorder="1"/>
    <xf numFmtId="0" fontId="25" fillId="0" borderId="34" xfId="0" applyFont="1" applyFill="1" applyBorder="1"/>
    <xf numFmtId="3" fontId="25" fillId="26" borderId="29" xfId="0" applyNumberFormat="1" applyFont="1" applyFill="1" applyBorder="1"/>
    <xf numFmtId="3" fontId="25" fillId="0" borderId="29" xfId="0" applyNumberFormat="1" applyFont="1" applyFill="1" applyBorder="1"/>
    <xf numFmtId="3" fontId="25" fillId="26" borderId="46" xfId="0" applyNumberFormat="1" applyFont="1" applyFill="1" applyBorder="1"/>
    <xf numFmtId="3" fontId="25" fillId="26" borderId="25" xfId="0" applyNumberFormat="1" applyFont="1" applyFill="1" applyBorder="1"/>
    <xf numFmtId="3" fontId="25" fillId="0" borderId="25" xfId="0" applyNumberFormat="1" applyFont="1" applyFill="1" applyBorder="1"/>
    <xf numFmtId="0" fontId="24" fillId="24" borderId="48" xfId="0" applyFont="1" applyFill="1" applyBorder="1" applyAlignment="1">
      <alignment horizontal="center" vertical="center" wrapText="1"/>
    </xf>
    <xf numFmtId="0" fontId="0" fillId="0" borderId="49" xfId="0" applyBorder="1" applyAlignment="1"/>
    <xf numFmtId="0" fontId="0" fillId="0" borderId="50" xfId="0" applyBorder="1" applyAlignment="1"/>
    <xf numFmtId="0" fontId="0" fillId="0" borderId="50" xfId="0" applyBorder="1"/>
    <xf numFmtId="0" fontId="0" fillId="0" borderId="47" xfId="0" applyBorder="1"/>
    <xf numFmtId="0" fontId="0" fillId="0" borderId="51" xfId="0" applyBorder="1"/>
    <xf numFmtId="0" fontId="24" fillId="24" borderId="54" xfId="0" applyFont="1" applyFill="1" applyBorder="1" applyAlignment="1">
      <alignment horizontal="center"/>
    </xf>
    <xf numFmtId="0" fontId="25" fillId="0" borderId="55" xfId="0" applyFont="1" applyFill="1" applyBorder="1"/>
    <xf numFmtId="1" fontId="25" fillId="0" borderId="52" xfId="0" applyNumberFormat="1" applyFont="1" applyFill="1" applyBorder="1"/>
    <xf numFmtId="0" fontId="25" fillId="0" borderId="52" xfId="0" applyFont="1" applyFill="1" applyBorder="1"/>
    <xf numFmtId="0" fontId="25" fillId="0" borderId="56" xfId="0" applyFont="1" applyFill="1" applyBorder="1"/>
    <xf numFmtId="0" fontId="0" fillId="25" borderId="55" xfId="0" applyFill="1" applyBorder="1"/>
    <xf numFmtId="0" fontId="0" fillId="25" borderId="52" xfId="0" applyFill="1" applyBorder="1"/>
    <xf numFmtId="0" fontId="25" fillId="25" borderId="38" xfId="0" applyFont="1" applyFill="1" applyBorder="1"/>
    <xf numFmtId="3" fontId="25" fillId="0" borderId="15" xfId="0" applyNumberFormat="1" applyFont="1" applyFill="1" applyBorder="1"/>
    <xf numFmtId="3" fontId="25" fillId="0" borderId="23" xfId="0" applyNumberFormat="1" applyFont="1" applyFill="1" applyBorder="1"/>
    <xf numFmtId="3" fontId="25" fillId="0" borderId="26" xfId="0" applyNumberFormat="1" applyFont="1" applyFill="1" applyBorder="1"/>
    <xf numFmtId="3" fontId="25" fillId="26" borderId="36" xfId="0" applyNumberFormat="1" applyFont="1" applyFill="1" applyBorder="1"/>
    <xf numFmtId="3" fontId="25" fillId="26" borderId="11" xfId="0" applyNumberFormat="1" applyFont="1" applyFill="1" applyBorder="1"/>
    <xf numFmtId="3" fontId="25" fillId="26" borderId="28" xfId="0" applyNumberFormat="1" applyFont="1" applyFill="1" applyBorder="1"/>
    <xf numFmtId="3" fontId="25" fillId="0" borderId="11" xfId="0" applyNumberFormat="1" applyFont="1" applyFill="1" applyBorder="1"/>
    <xf numFmtId="3" fontId="25" fillId="26" borderId="33" xfId="0" applyNumberFormat="1" applyFont="1" applyFill="1" applyBorder="1"/>
    <xf numFmtId="3" fontId="25" fillId="25" borderId="43" xfId="0" applyNumberFormat="1" applyFont="1" applyFill="1" applyBorder="1"/>
    <xf numFmtId="3" fontId="25" fillId="25" borderId="44" xfId="0" applyNumberFormat="1" applyFont="1" applyFill="1" applyBorder="1"/>
    <xf numFmtId="3" fontId="24" fillId="25" borderId="44" xfId="0" applyNumberFormat="1" applyFont="1" applyFill="1" applyBorder="1"/>
    <xf numFmtId="3" fontId="24" fillId="25" borderId="43" xfId="0" applyNumberFormat="1" applyFont="1" applyFill="1" applyBorder="1"/>
    <xf numFmtId="3" fontId="25" fillId="25" borderId="40" xfId="0" applyNumberFormat="1" applyFont="1" applyFill="1" applyBorder="1"/>
    <xf numFmtId="3" fontId="25" fillId="0" borderId="36" xfId="0" applyNumberFormat="1" applyFont="1" applyBorder="1"/>
    <xf numFmtId="3" fontId="24" fillId="25" borderId="36" xfId="0" applyNumberFormat="1" applyFont="1" applyFill="1" applyBorder="1"/>
    <xf numFmtId="3" fontId="24" fillId="25" borderId="29" xfId="0" applyNumberFormat="1" applyFont="1" applyFill="1" applyBorder="1"/>
    <xf numFmtId="3" fontId="25" fillId="25" borderId="23" xfId="0" applyNumberFormat="1" applyFont="1" applyFill="1" applyBorder="1"/>
    <xf numFmtId="3" fontId="25" fillId="0" borderId="28" xfId="0" applyNumberFormat="1" applyFont="1" applyBorder="1"/>
    <xf numFmtId="3" fontId="24" fillId="25" borderId="28" xfId="0" applyNumberFormat="1" applyFont="1" applyFill="1" applyBorder="1"/>
    <xf numFmtId="3" fontId="24" fillId="25" borderId="11" xfId="0" applyNumberFormat="1" applyFont="1" applyFill="1" applyBorder="1"/>
    <xf numFmtId="3" fontId="25" fillId="25" borderId="15" xfId="0" applyNumberFormat="1" applyFont="1" applyFill="1" applyBorder="1"/>
    <xf numFmtId="3" fontId="25" fillId="26" borderId="12" xfId="0" applyNumberFormat="1" applyFont="1" applyFill="1" applyBorder="1"/>
    <xf numFmtId="3" fontId="25" fillId="0" borderId="12" xfId="0" applyNumberFormat="1" applyFont="1" applyFill="1" applyBorder="1"/>
    <xf numFmtId="3" fontId="25" fillId="0" borderId="16" xfId="0" applyNumberFormat="1" applyFont="1" applyFill="1" applyBorder="1"/>
    <xf numFmtId="3" fontId="25" fillId="25" borderId="37" xfId="0" applyNumberFormat="1" applyFont="1" applyFill="1" applyBorder="1"/>
    <xf numFmtId="3" fontId="24" fillId="25" borderId="37" xfId="0" applyNumberFormat="1" applyFont="1" applyFill="1" applyBorder="1"/>
    <xf numFmtId="3" fontId="24" fillId="25" borderId="38" xfId="0" applyNumberFormat="1" applyFont="1" applyFill="1" applyBorder="1"/>
    <xf numFmtId="0" fontId="23" fillId="0" borderId="0" xfId="53" applyFont="1" applyAlignment="1">
      <alignment horizontal="left" vertical="center"/>
    </xf>
    <xf numFmtId="0" fontId="18" fillId="0" borderId="0" xfId="53" applyAlignment="1">
      <alignment horizontal="center" vertical="center"/>
    </xf>
    <xf numFmtId="0" fontId="19" fillId="0" borderId="0" xfId="53" applyFont="1" applyAlignment="1">
      <alignment horizontal="center" vertical="center"/>
    </xf>
    <xf numFmtId="0" fontId="20" fillId="0" borderId="0" xfId="53" applyFont="1" applyAlignment="1">
      <alignment horizontal="left" vertical="center"/>
    </xf>
    <xf numFmtId="0" fontId="21" fillId="0" borderId="0" xfId="53" applyFont="1" applyAlignment="1">
      <alignment horizontal="center" vertical="center"/>
    </xf>
    <xf numFmtId="0" fontId="20" fillId="0" borderId="0" xfId="53" applyFont="1" applyBorder="1" applyAlignment="1">
      <alignment horizontal="left" vertical="center"/>
    </xf>
    <xf numFmtId="0" fontId="18" fillId="0" borderId="13" xfId="53" applyBorder="1"/>
    <xf numFmtId="0" fontId="24" fillId="24" borderId="11" xfId="53" applyFont="1" applyFill="1" applyBorder="1" applyAlignment="1">
      <alignment horizontal="center" vertical="center"/>
    </xf>
    <xf numFmtId="0" fontId="24" fillId="24" borderId="20" xfId="53" applyFont="1" applyFill="1" applyBorder="1" applyAlignment="1">
      <alignment horizontal="center" vertical="center" wrapText="1"/>
    </xf>
    <xf numFmtId="0" fontId="24" fillId="24" borderId="21" xfId="53" applyFont="1" applyFill="1" applyBorder="1" applyAlignment="1">
      <alignment horizontal="center" vertical="center" wrapText="1"/>
    </xf>
    <xf numFmtId="0" fontId="25" fillId="0" borderId="17" xfId="53" applyFont="1" applyBorder="1" applyAlignment="1">
      <alignment horizontal="left" vertical="center"/>
    </xf>
    <xf numFmtId="0" fontId="25" fillId="0" borderId="11" xfId="53" applyFont="1" applyBorder="1" applyAlignment="1">
      <alignment horizontal="center" vertical="center"/>
    </xf>
    <xf numFmtId="0" fontId="25" fillId="0" borderId="11" xfId="53" quotePrefix="1" applyFont="1" applyBorder="1" applyAlignment="1">
      <alignment horizontal="center" vertical="center" wrapText="1"/>
    </xf>
    <xf numFmtId="0" fontId="25" fillId="26" borderId="11" xfId="53" applyFont="1" applyFill="1" applyBorder="1" applyAlignment="1">
      <alignment horizontal="right" vertical="center"/>
    </xf>
    <xf numFmtId="0" fontId="25" fillId="28" borderId="15" xfId="53" applyFont="1" applyFill="1" applyBorder="1" applyAlignment="1">
      <alignment horizontal="center" vertical="center"/>
    </xf>
    <xf numFmtId="0" fontId="25" fillId="26" borderId="11" xfId="53" quotePrefix="1" applyFont="1" applyFill="1" applyBorder="1" applyAlignment="1">
      <alignment horizontal="right" vertical="center" wrapText="1"/>
    </xf>
    <xf numFmtId="0" fontId="25" fillId="28" borderId="15" xfId="53" quotePrefix="1" applyFont="1" applyFill="1" applyBorder="1" applyAlignment="1">
      <alignment horizontal="center" vertical="center" wrapText="1"/>
    </xf>
    <xf numFmtId="0" fontId="25" fillId="28" borderId="15" xfId="53" applyFont="1" applyFill="1" applyBorder="1" applyAlignment="1">
      <alignment horizontal="center" vertical="center" wrapText="1"/>
    </xf>
    <xf numFmtId="3" fontId="25" fillId="0" borderId="11" xfId="55" quotePrefix="1" applyNumberFormat="1" applyFont="1" applyBorder="1" applyAlignment="1">
      <alignment horizontal="right" vertical="center" wrapText="1"/>
    </xf>
    <xf numFmtId="3" fontId="25" fillId="0" borderId="11" xfId="55" applyNumberFormat="1" applyFont="1" applyBorder="1" applyAlignment="1">
      <alignment horizontal="right" vertical="center"/>
    </xf>
    <xf numFmtId="4" fontId="25" fillId="26" borderId="11" xfId="55" applyNumberFormat="1" applyFont="1" applyFill="1" applyBorder="1" applyAlignment="1">
      <alignment horizontal="right" vertical="center"/>
    </xf>
    <xf numFmtId="4" fontId="25" fillId="28" borderId="15" xfId="55" applyNumberFormat="1" applyFont="1" applyFill="1" applyBorder="1" applyAlignment="1">
      <alignment horizontal="right" vertical="center"/>
    </xf>
    <xf numFmtId="3" fontId="25" fillId="0" borderId="11" xfId="53" quotePrefix="1" applyNumberFormat="1" applyFont="1" applyBorder="1" applyAlignment="1">
      <alignment horizontal="right" vertical="center" wrapText="1"/>
    </xf>
    <xf numFmtId="3" fontId="25" fillId="0" borderId="11" xfId="53" applyNumberFormat="1" applyFont="1" applyBorder="1" applyAlignment="1">
      <alignment horizontal="right" vertical="center"/>
    </xf>
    <xf numFmtId="3" fontId="25" fillId="26" borderId="11" xfId="53" applyNumberFormat="1" applyFont="1" applyFill="1" applyBorder="1" applyAlignment="1">
      <alignment horizontal="right" vertical="center"/>
    </xf>
    <xf numFmtId="3" fontId="25" fillId="28" borderId="15" xfId="53" applyNumberFormat="1" applyFont="1" applyFill="1" applyBorder="1" applyAlignment="1">
      <alignment horizontal="right" vertical="center"/>
    </xf>
    <xf numFmtId="0" fontId="25" fillId="28" borderId="16" xfId="53" applyFont="1" applyFill="1" applyBorder="1" applyAlignment="1">
      <alignment horizontal="center" vertical="center"/>
    </xf>
    <xf numFmtId="0" fontId="24" fillId="25" borderId="17" xfId="53" applyFont="1" applyFill="1" applyBorder="1" applyAlignment="1">
      <alignment horizontal="left" vertical="center"/>
    </xf>
    <xf numFmtId="0" fontId="25" fillId="25" borderId="11" xfId="53" applyFont="1" applyFill="1" applyBorder="1" applyAlignment="1">
      <alignment horizontal="center" vertical="center"/>
    </xf>
    <xf numFmtId="0" fontId="25" fillId="25" borderId="22" xfId="53" applyFont="1" applyFill="1" applyBorder="1" applyAlignment="1">
      <alignment horizontal="center" vertical="center"/>
    </xf>
    <xf numFmtId="0" fontId="25" fillId="25" borderId="10" xfId="53" applyFont="1" applyFill="1" applyBorder="1" applyAlignment="1">
      <alignment horizontal="center" vertical="center"/>
    </xf>
    <xf numFmtId="0" fontId="25" fillId="25" borderId="14" xfId="53" applyFont="1" applyFill="1" applyBorder="1" applyAlignment="1">
      <alignment horizontal="center" vertical="center"/>
    </xf>
    <xf numFmtId="0" fontId="24" fillId="0" borderId="17" xfId="53" applyFont="1" applyBorder="1" applyAlignment="1">
      <alignment horizontal="left" vertical="center"/>
    </xf>
    <xf numFmtId="0" fontId="25" fillId="26" borderId="28" xfId="53" applyFont="1" applyFill="1" applyBorder="1" applyAlignment="1">
      <alignment horizontal="center" vertical="center"/>
    </xf>
    <xf numFmtId="0" fontId="25" fillId="26" borderId="11" xfId="53" applyFont="1" applyFill="1" applyBorder="1" applyAlignment="1">
      <alignment horizontal="center" vertical="center"/>
    </xf>
    <xf numFmtId="0" fontId="25" fillId="25" borderId="28" xfId="53" applyFont="1" applyFill="1" applyBorder="1" applyAlignment="1">
      <alignment horizontal="center" vertical="center"/>
    </xf>
    <xf numFmtId="0" fontId="25" fillId="25" borderId="18" xfId="53" applyFont="1" applyFill="1" applyBorder="1" applyAlignment="1">
      <alignment horizontal="center" vertical="center"/>
    </xf>
    <xf numFmtId="0" fontId="25" fillId="0" borderId="20" xfId="53" applyFont="1" applyBorder="1" applyAlignment="1">
      <alignment horizontal="center" vertical="center"/>
    </xf>
    <xf numFmtId="0" fontId="25" fillId="26" borderId="0" xfId="53" applyFont="1" applyFill="1" applyBorder="1" applyAlignment="1">
      <alignment horizontal="center" vertical="center"/>
    </xf>
    <xf numFmtId="0" fontId="25" fillId="0" borderId="19" xfId="53" applyFont="1" applyBorder="1" applyAlignment="1">
      <alignment horizontal="left" vertical="center"/>
    </xf>
    <xf numFmtId="0" fontId="25" fillId="0" borderId="12" xfId="53" applyFont="1" applyBorder="1" applyAlignment="1">
      <alignment horizontal="center" vertical="center"/>
    </xf>
    <xf numFmtId="0" fontId="25" fillId="0" borderId="21" xfId="53" applyFont="1" applyBorder="1" applyAlignment="1">
      <alignment horizontal="center" vertical="center"/>
    </xf>
    <xf numFmtId="0" fontId="25" fillId="26" borderId="45" xfId="53" applyFont="1" applyFill="1" applyBorder="1" applyAlignment="1">
      <alignment horizontal="center" vertical="center"/>
    </xf>
    <xf numFmtId="0" fontId="25" fillId="0" borderId="20" xfId="53" quotePrefix="1" applyFont="1" applyBorder="1" applyAlignment="1">
      <alignment horizontal="center" vertical="center" wrapText="1"/>
    </xf>
    <xf numFmtId="0" fontId="25" fillId="0" borderId="59" xfId="53" applyFont="1" applyBorder="1" applyAlignment="1">
      <alignment horizontal="center" vertical="center"/>
    </xf>
    <xf numFmtId="0" fontId="25" fillId="0" borderId="60" xfId="53" applyFont="1" applyBorder="1" applyAlignment="1">
      <alignment horizontal="center" vertical="center"/>
    </xf>
    <xf numFmtId="0" fontId="25" fillId="0" borderId="17" xfId="53" applyFont="1" applyBorder="1" applyAlignment="1">
      <alignment horizontal="right" vertical="center"/>
    </xf>
    <xf numFmtId="0" fontId="25" fillId="0" borderId="60" xfId="53" quotePrefix="1" applyFont="1" applyBorder="1" applyAlignment="1">
      <alignment horizontal="center" vertical="center" wrapText="1"/>
    </xf>
    <xf numFmtId="0" fontId="25" fillId="0" borderId="17" xfId="53" quotePrefix="1" applyFont="1" applyBorder="1" applyAlignment="1">
      <alignment horizontal="right" vertical="center" wrapText="1"/>
    </xf>
    <xf numFmtId="3" fontId="25" fillId="0" borderId="20" xfId="55" applyNumberFormat="1" applyFont="1" applyBorder="1" applyAlignment="1">
      <alignment horizontal="right" vertical="center"/>
    </xf>
    <xf numFmtId="4" fontId="25" fillId="0" borderId="61" xfId="53" applyNumberFormat="1" applyFont="1" applyBorder="1" applyAlignment="1">
      <alignment horizontal="center" vertical="center"/>
    </xf>
    <xf numFmtId="3" fontId="25" fillId="0" borderId="20" xfId="53" applyNumberFormat="1" applyFont="1" applyBorder="1" applyAlignment="1">
      <alignment horizontal="right" vertical="center"/>
    </xf>
    <xf numFmtId="3" fontId="25" fillId="0" borderId="60" xfId="53" applyNumberFormat="1" applyFont="1" applyBorder="1" applyAlignment="1">
      <alignment horizontal="center" vertical="center"/>
    </xf>
    <xf numFmtId="3" fontId="25" fillId="0" borderId="17" xfId="53" applyNumberFormat="1" applyFont="1" applyBorder="1" applyAlignment="1">
      <alignment horizontal="right" vertical="center"/>
    </xf>
    <xf numFmtId="166" fontId="25" fillId="0" borderId="20" xfId="53" quotePrefix="1" applyNumberFormat="1" applyFont="1" applyBorder="1" applyAlignment="1">
      <alignment horizontal="right" vertical="center" wrapText="1"/>
    </xf>
    <xf numFmtId="167" fontId="25" fillId="0" borderId="60" xfId="53" applyNumberFormat="1" applyFont="1" applyBorder="1" applyAlignment="1">
      <alignment horizontal="right" vertical="center"/>
    </xf>
    <xf numFmtId="0" fontId="25" fillId="0" borderId="62" xfId="53" applyFont="1" applyBorder="1" applyAlignment="1">
      <alignment horizontal="center" vertical="center"/>
    </xf>
    <xf numFmtId="0" fontId="25" fillId="26" borderId="25" xfId="53" applyFont="1" applyFill="1" applyBorder="1" applyAlignment="1">
      <alignment horizontal="center" vertical="center"/>
    </xf>
    <xf numFmtId="0" fontId="25" fillId="26" borderId="29" xfId="53" applyFont="1" applyFill="1" applyBorder="1" applyAlignment="1">
      <alignment horizontal="center" vertical="center"/>
    </xf>
    <xf numFmtId="1" fontId="24" fillId="24" borderId="63" xfId="54" applyNumberFormat="1" applyFont="1" applyFill="1" applyBorder="1" applyAlignment="1">
      <alignment horizontal="center" vertical="center"/>
    </xf>
    <xf numFmtId="0" fontId="24" fillId="24" borderId="64" xfId="53" applyFont="1" applyFill="1" applyBorder="1" applyAlignment="1">
      <alignment horizontal="center" vertical="center" wrapText="1"/>
    </xf>
    <xf numFmtId="0" fontId="24" fillId="24" borderId="42" xfId="53" applyFont="1" applyFill="1" applyBorder="1" applyAlignment="1">
      <alignment horizontal="center" vertical="center" wrapText="1"/>
    </xf>
    <xf numFmtId="0" fontId="24" fillId="24" borderId="43" xfId="53" applyFont="1" applyFill="1" applyBorder="1" applyAlignment="1">
      <alignment horizontal="center" vertical="center" wrapText="1"/>
    </xf>
    <xf numFmtId="0" fontId="24" fillId="24" borderId="40" xfId="53" applyFont="1" applyFill="1" applyBorder="1" applyAlignment="1">
      <alignment horizontal="center" vertical="center" wrapText="1"/>
    </xf>
    <xf numFmtId="0" fontId="25" fillId="0" borderId="11" xfId="53" applyFont="1" applyBorder="1" applyAlignment="1">
      <alignment horizontal="center" vertical="center" wrapText="1"/>
    </xf>
    <xf numFmtId="0" fontId="25" fillId="0" borderId="20" xfId="53" applyFont="1" applyBorder="1" applyAlignment="1">
      <alignment horizontal="center" vertical="center" wrapText="1"/>
    </xf>
    <xf numFmtId="0" fontId="25" fillId="0" borderId="22" xfId="53" quotePrefix="1" applyFont="1" applyBorder="1" applyAlignment="1">
      <alignment horizontal="right" vertical="center" wrapText="1"/>
    </xf>
    <xf numFmtId="0" fontId="25" fillId="26" borderId="10" xfId="53" quotePrefix="1" applyFont="1" applyFill="1" applyBorder="1" applyAlignment="1">
      <alignment horizontal="right" vertical="center" wrapText="1"/>
    </xf>
    <xf numFmtId="0" fontId="25" fillId="28" borderId="14" xfId="53" quotePrefix="1" applyFont="1" applyFill="1" applyBorder="1" applyAlignment="1">
      <alignment horizontal="center" vertical="center" wrapText="1"/>
    </xf>
    <xf numFmtId="0" fontId="24" fillId="0" borderId="58" xfId="53" applyFont="1" applyBorder="1" applyAlignment="1">
      <alignment vertical="center"/>
    </xf>
    <xf numFmtId="0" fontId="24" fillId="0" borderId="13" xfId="53" applyFont="1" applyBorder="1" applyAlignment="1">
      <alignment vertical="center"/>
    </xf>
    <xf numFmtId="0" fontId="24" fillId="0" borderId="53" xfId="53" applyFont="1" applyBorder="1" applyAlignment="1">
      <alignment vertical="center"/>
    </xf>
    <xf numFmtId="3" fontId="25" fillId="0" borderId="60" xfId="53" applyNumberFormat="1" applyFont="1" applyBorder="1" applyAlignment="1">
      <alignment horizontal="right" vertical="center"/>
    </xf>
    <xf numFmtId="0" fontId="24" fillId="0" borderId="31" xfId="53" applyFont="1" applyBorder="1" applyAlignment="1">
      <alignment vertical="center" wrapText="1"/>
    </xf>
    <xf numFmtId="0" fontId="24" fillId="0" borderId="0" xfId="53" applyFont="1" applyBorder="1" applyAlignment="1">
      <alignment vertical="center" wrapText="1"/>
    </xf>
    <xf numFmtId="0" fontId="25" fillId="0" borderId="65" xfId="0" applyFont="1" applyFill="1" applyBorder="1"/>
    <xf numFmtId="0" fontId="25" fillId="0" borderId="66" xfId="0" applyFont="1" applyBorder="1"/>
    <xf numFmtId="0" fontId="25" fillId="0" borderId="67" xfId="0" applyFont="1" applyBorder="1"/>
    <xf numFmtId="3" fontId="25" fillId="26" borderId="66" xfId="0" applyNumberFormat="1" applyFont="1" applyFill="1" applyBorder="1"/>
    <xf numFmtId="3" fontId="25" fillId="0" borderId="66" xfId="0" applyNumberFormat="1" applyFont="1" applyFill="1" applyBorder="1"/>
    <xf numFmtId="3" fontId="25" fillId="0" borderId="68" xfId="0" applyNumberFormat="1" applyFont="1" applyFill="1" applyBorder="1"/>
    <xf numFmtId="0" fontId="50" fillId="0" borderId="0" xfId="0" applyFont="1" applyAlignment="1">
      <alignment horizontal="left" vertical="center"/>
    </xf>
    <xf numFmtId="0" fontId="51" fillId="0" borderId="0" xfId="0" applyFont="1"/>
    <xf numFmtId="0" fontId="51" fillId="0" borderId="0" xfId="0" applyFont="1" applyAlignment="1"/>
    <xf numFmtId="0" fontId="52" fillId="0" borderId="0" xfId="0" applyFont="1" applyAlignment="1">
      <alignment vertical="center"/>
    </xf>
    <xf numFmtId="0" fontId="53" fillId="0" borderId="0" xfId="0" applyFont="1" applyAlignment="1"/>
    <xf numFmtId="0" fontId="54" fillId="0" borderId="0" xfId="0" applyFont="1" applyAlignment="1"/>
    <xf numFmtId="0" fontId="54" fillId="0" borderId="0" xfId="0" applyFont="1"/>
    <xf numFmtId="0" fontId="53" fillId="24" borderId="71" xfId="0" applyFont="1" applyFill="1" applyBorder="1" applyAlignment="1">
      <alignment horizontal="center" vertical="center" wrapText="1"/>
    </xf>
    <xf numFmtId="0" fontId="53" fillId="24" borderId="40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/>
    </xf>
    <xf numFmtId="0" fontId="55" fillId="0" borderId="34" xfId="0" applyFont="1" applyBorder="1" applyAlignment="1"/>
    <xf numFmtId="0" fontId="55" fillId="0" borderId="29" xfId="0" applyFont="1" applyBorder="1" applyAlignment="1">
      <alignment horizontal="center"/>
    </xf>
    <xf numFmtId="1" fontId="55" fillId="0" borderId="29" xfId="0" applyNumberFormat="1" applyFont="1" applyBorder="1"/>
    <xf numFmtId="1" fontId="55" fillId="26" borderId="29" xfId="0" applyNumberFormat="1" applyFont="1" applyFill="1" applyBorder="1"/>
    <xf numFmtId="1" fontId="55" fillId="0" borderId="23" xfId="0" applyNumberFormat="1" applyFont="1" applyFill="1" applyBorder="1"/>
    <xf numFmtId="3" fontId="56" fillId="0" borderId="0" xfId="0" applyNumberFormat="1" applyFont="1"/>
    <xf numFmtId="0" fontId="56" fillId="0" borderId="0" xfId="0" applyFont="1"/>
    <xf numFmtId="0" fontId="55" fillId="0" borderId="17" xfId="0" applyFont="1" applyBorder="1" applyAlignment="1"/>
    <xf numFmtId="0" fontId="55" fillId="0" borderId="11" xfId="0" applyFont="1" applyBorder="1" applyAlignment="1">
      <alignment horizontal="center"/>
    </xf>
    <xf numFmtId="1" fontId="55" fillId="0" borderId="11" xfId="0" applyNumberFormat="1" applyFont="1" applyBorder="1"/>
    <xf numFmtId="1" fontId="55" fillId="26" borderId="11" xfId="0" applyNumberFormat="1" applyFont="1" applyFill="1" applyBorder="1"/>
    <xf numFmtId="1" fontId="55" fillId="0" borderId="15" xfId="0" applyNumberFormat="1" applyFont="1" applyFill="1" applyBorder="1"/>
    <xf numFmtId="0" fontId="55" fillId="0" borderId="17" xfId="0" applyFont="1" applyFill="1" applyBorder="1" applyAlignment="1"/>
    <xf numFmtId="1" fontId="57" fillId="0" borderId="11" xfId="0" applyNumberFormat="1" applyFont="1" applyBorder="1"/>
    <xf numFmtId="1" fontId="57" fillId="0" borderId="15" xfId="0" applyNumberFormat="1" applyFont="1" applyBorder="1"/>
    <xf numFmtId="3" fontId="54" fillId="0" borderId="0" xfId="0" applyNumberFormat="1" applyFont="1" applyFill="1"/>
    <xf numFmtId="0" fontId="55" fillId="0" borderId="19" xfId="0" applyFont="1" applyFill="1" applyBorder="1"/>
    <xf numFmtId="0" fontId="55" fillId="0" borderId="12" xfId="0" applyFont="1" applyBorder="1"/>
    <xf numFmtId="0" fontId="55" fillId="26" borderId="12" xfId="0" applyFont="1" applyFill="1" applyBorder="1"/>
    <xf numFmtId="0" fontId="55" fillId="0" borderId="16" xfId="0" applyFont="1" applyFill="1" applyBorder="1"/>
    <xf numFmtId="0" fontId="25" fillId="26" borderId="35" xfId="0" applyFont="1" applyFill="1" applyBorder="1"/>
    <xf numFmtId="1" fontId="25" fillId="26" borderId="20" xfId="0" applyNumberFormat="1" applyFont="1" applyFill="1" applyBorder="1"/>
    <xf numFmtId="0" fontId="25" fillId="26" borderId="20" xfId="0" applyFont="1" applyFill="1" applyBorder="1"/>
    <xf numFmtId="0" fontId="25" fillId="26" borderId="27" xfId="0" applyFont="1" applyFill="1" applyBorder="1"/>
    <xf numFmtId="0" fontId="0" fillId="25" borderId="39" xfId="0" applyFill="1" applyBorder="1"/>
    <xf numFmtId="0" fontId="0" fillId="25" borderId="35" xfId="0" applyFill="1" applyBorder="1"/>
    <xf numFmtId="0" fontId="0" fillId="25" borderId="20" xfId="0" applyFill="1" applyBorder="1"/>
    <xf numFmtId="0" fontId="20" fillId="0" borderId="0" xfId="0" applyFont="1" applyBorder="1" applyAlignment="1"/>
    <xf numFmtId="0" fontId="24" fillId="24" borderId="10" xfId="0" applyFont="1" applyFill="1" applyBorder="1" applyAlignment="1">
      <alignment horizontal="center" vertical="center" wrapText="1"/>
    </xf>
    <xf numFmtId="0" fontId="24" fillId="24" borderId="11" xfId="0" applyFont="1" applyFill="1" applyBorder="1" applyAlignment="1">
      <alignment horizontal="center" vertical="center" wrapText="1"/>
    </xf>
    <xf numFmtId="0" fontId="24" fillId="24" borderId="12" xfId="0" applyFont="1" applyFill="1" applyBorder="1" applyAlignment="1">
      <alignment horizontal="center" vertical="center" wrapText="1"/>
    </xf>
    <xf numFmtId="1" fontId="24" fillId="24" borderId="52" xfId="32" applyNumberFormat="1" applyFont="1" applyFill="1" applyBorder="1" applyAlignment="1">
      <alignment horizontal="center" vertical="center"/>
    </xf>
    <xf numFmtId="0" fontId="52" fillId="0" borderId="0" xfId="0" applyFont="1" applyAlignment="1"/>
    <xf numFmtId="0" fontId="20" fillId="0" borderId="0" xfId="53" applyFont="1" applyAlignment="1">
      <alignment horizontal="center" vertical="center"/>
    </xf>
    <xf numFmtId="0" fontId="24" fillId="24" borderId="12" xfId="53" applyFont="1" applyFill="1" applyBorder="1" applyAlignment="1">
      <alignment horizontal="center" vertical="center" wrapText="1"/>
    </xf>
    <xf numFmtId="3" fontId="25" fillId="26" borderId="29" xfId="0" applyNumberFormat="1" applyFont="1" applyFill="1" applyBorder="1" applyAlignment="1"/>
    <xf numFmtId="3" fontId="25" fillId="26" borderId="36" xfId="0" applyNumberFormat="1" applyFont="1" applyFill="1" applyBorder="1" applyAlignment="1"/>
    <xf numFmtId="3" fontId="25" fillId="26" borderId="28" xfId="0" applyNumberFormat="1" applyFont="1" applyFill="1" applyBorder="1" applyAlignment="1"/>
    <xf numFmtId="3" fontId="25" fillId="26" borderId="11" xfId="0" applyNumberFormat="1" applyFont="1" applyFill="1" applyBorder="1" applyAlignment="1"/>
    <xf numFmtId="3" fontId="25" fillId="0" borderId="11" xfId="0" applyNumberFormat="1" applyFont="1" applyFill="1" applyBorder="1" applyAlignment="1"/>
    <xf numFmtId="3" fontId="25" fillId="0" borderId="15" xfId="0" applyNumberFormat="1" applyFont="1" applyFill="1" applyBorder="1" applyAlignment="1"/>
    <xf numFmtId="3" fontId="25" fillId="0" borderId="0" xfId="0" applyNumberFormat="1" applyFont="1"/>
    <xf numFmtId="0" fontId="18" fillId="0" borderId="52" xfId="0" applyFont="1" applyFill="1" applyBorder="1"/>
    <xf numFmtId="0" fontId="18" fillId="26" borderId="15" xfId="0" applyFont="1" applyFill="1" applyBorder="1"/>
    <xf numFmtId="0" fontId="18" fillId="26" borderId="20" xfId="0" applyFont="1" applyFill="1" applyBorder="1"/>
    <xf numFmtId="0" fontId="18" fillId="0" borderId="0" xfId="0" applyFont="1"/>
    <xf numFmtId="3" fontId="18" fillId="0" borderId="52" xfId="0" applyNumberFormat="1" applyFont="1" applyFill="1" applyBorder="1"/>
    <xf numFmtId="4" fontId="18" fillId="0" borderId="0" xfId="0" applyNumberFormat="1" applyFont="1"/>
    <xf numFmtId="0" fontId="18" fillId="0" borderId="57" xfId="0" applyFont="1" applyFill="1" applyBorder="1"/>
    <xf numFmtId="0" fontId="18" fillId="26" borderId="16" xfId="0" applyFont="1" applyFill="1" applyBorder="1"/>
    <xf numFmtId="0" fontId="18" fillId="26" borderId="21" xfId="0" applyFont="1" applyFill="1" applyBorder="1"/>
    <xf numFmtId="3" fontId="18" fillId="0" borderId="55" xfId="0" applyNumberFormat="1" applyFont="1" applyFill="1" applyBorder="1"/>
    <xf numFmtId="0" fontId="18" fillId="26" borderId="23" xfId="0" applyFont="1" applyFill="1" applyBorder="1"/>
    <xf numFmtId="0" fontId="18" fillId="26" borderId="35" xfId="0" applyFont="1" applyFill="1" applyBorder="1"/>
    <xf numFmtId="3" fontId="18" fillId="0" borderId="56" xfId="0" applyNumberFormat="1" applyFont="1" applyFill="1" applyBorder="1"/>
    <xf numFmtId="0" fontId="18" fillId="26" borderId="26" xfId="0" applyFont="1" applyFill="1" applyBorder="1"/>
    <xf numFmtId="0" fontId="18" fillId="26" borderId="27" xfId="0" applyFont="1" applyFill="1" applyBorder="1"/>
    <xf numFmtId="3" fontId="18" fillId="0" borderId="0" xfId="0" applyNumberFormat="1" applyFont="1" applyFill="1" applyBorder="1"/>
    <xf numFmtId="0" fontId="18" fillId="26" borderId="32" xfId="0" applyFont="1" applyFill="1" applyBorder="1"/>
    <xf numFmtId="0" fontId="18" fillId="26" borderId="0" xfId="0" applyFont="1" applyFill="1" applyBorder="1"/>
    <xf numFmtId="0" fontId="58" fillId="0" borderId="0" xfId="87"/>
    <xf numFmtId="10" fontId="59" fillId="0" borderId="0" xfId="87" applyNumberFormat="1" applyFont="1" applyBorder="1" applyAlignment="1">
      <alignment horizontal="center" vertical="center"/>
    </xf>
    <xf numFmtId="0" fontId="60" fillId="0" borderId="0" xfId="87" applyFont="1" applyAlignment="1">
      <alignment vertical="center"/>
    </xf>
    <xf numFmtId="0" fontId="61" fillId="0" borderId="0" xfId="87" applyFont="1" applyAlignment="1">
      <alignment horizontal="center" vertical="center"/>
    </xf>
    <xf numFmtId="10" fontId="61" fillId="0" borderId="0" xfId="87" applyNumberFormat="1" applyFont="1" applyAlignment="1">
      <alignment horizontal="center" vertical="center"/>
    </xf>
    <xf numFmtId="10" fontId="61" fillId="29" borderId="0" xfId="87" applyNumberFormat="1" applyFont="1" applyFill="1" applyAlignment="1">
      <alignment horizontal="center" vertical="center"/>
    </xf>
    <xf numFmtId="0" fontId="62" fillId="0" borderId="0" xfId="87" applyFont="1" applyAlignment="1">
      <alignment vertical="center" wrapText="1"/>
    </xf>
    <xf numFmtId="0" fontId="63" fillId="0" borderId="0" xfId="87" applyFont="1" applyBorder="1" applyAlignment="1">
      <alignment horizontal="center" vertical="center" wrapText="1"/>
    </xf>
    <xf numFmtId="10" fontId="65" fillId="0" borderId="0" xfId="87" applyNumberFormat="1" applyFont="1" applyAlignment="1">
      <alignment horizontal="center" vertical="center"/>
    </xf>
    <xf numFmtId="10" fontId="65" fillId="29" borderId="0" xfId="87" applyNumberFormat="1" applyFont="1" applyFill="1" applyAlignment="1">
      <alignment horizontal="center" vertical="center"/>
    </xf>
    <xf numFmtId="0" fontId="63" fillId="29" borderId="0" xfId="87" applyFont="1" applyFill="1" applyBorder="1" applyAlignment="1">
      <alignment horizontal="center" vertical="center" wrapText="1"/>
    </xf>
    <xf numFmtId="0" fontId="65" fillId="0" borderId="0" xfId="87" applyFont="1" applyAlignment="1">
      <alignment horizontal="center" vertical="center"/>
    </xf>
    <xf numFmtId="0" fontId="48" fillId="0" borderId="0" xfId="87" applyFont="1" applyAlignment="1">
      <alignment horizontal="center"/>
    </xf>
    <xf numFmtId="0" fontId="60" fillId="0" borderId="0" xfId="87" applyFont="1" applyAlignment="1">
      <alignment horizontal="center" vertical="center"/>
    </xf>
    <xf numFmtId="10" fontId="49" fillId="29" borderId="73" xfId="87" applyNumberFormat="1" applyFont="1" applyFill="1" applyBorder="1" applyAlignment="1">
      <alignment horizontal="center" vertical="center" wrapText="1"/>
    </xf>
    <xf numFmtId="10" fontId="49" fillId="30" borderId="11" xfId="87" applyNumberFormat="1" applyFont="1" applyFill="1" applyBorder="1" applyAlignment="1">
      <alignment horizontal="center" vertical="center" wrapText="1"/>
    </xf>
    <xf numFmtId="10" fontId="49" fillId="29" borderId="11" xfId="87" applyNumberFormat="1" applyFont="1" applyFill="1" applyBorder="1" applyAlignment="1">
      <alignment horizontal="center" vertical="center" wrapText="1"/>
    </xf>
    <xf numFmtId="0" fontId="66" fillId="0" borderId="0" xfId="87" applyFont="1" applyBorder="1" applyAlignment="1">
      <alignment horizontal="center" vertical="center"/>
    </xf>
    <xf numFmtId="0" fontId="49" fillId="0" borderId="0" xfId="87" applyFont="1" applyBorder="1" applyAlignment="1">
      <alignment horizontal="center" vertical="center"/>
    </xf>
    <xf numFmtId="0" fontId="49" fillId="29" borderId="73" xfId="87" applyFont="1" applyFill="1" applyBorder="1" applyAlignment="1">
      <alignment horizontal="center" vertical="center"/>
    </xf>
    <xf numFmtId="10" fontId="49" fillId="0" borderId="0" xfId="87" applyNumberFormat="1" applyFont="1" applyBorder="1" applyAlignment="1">
      <alignment horizontal="center" vertical="center" wrapText="1"/>
    </xf>
    <xf numFmtId="10" fontId="49" fillId="29" borderId="0" xfId="87" applyNumberFormat="1" applyFont="1" applyFill="1" applyBorder="1" applyAlignment="1">
      <alignment horizontal="center" vertical="center" wrapText="1"/>
    </xf>
    <xf numFmtId="0" fontId="66" fillId="30" borderId="0" xfId="87" applyFont="1" applyFill="1" applyBorder="1" applyAlignment="1">
      <alignment horizontal="center" vertical="center"/>
    </xf>
    <xf numFmtId="0" fontId="49" fillId="30" borderId="0" xfId="87" applyFont="1" applyFill="1" applyBorder="1" applyAlignment="1">
      <alignment horizontal="center" vertical="center"/>
    </xf>
    <xf numFmtId="0" fontId="49" fillId="30" borderId="73" xfId="87" applyFont="1" applyFill="1" applyBorder="1" applyAlignment="1">
      <alignment horizontal="center" vertical="center"/>
    </xf>
    <xf numFmtId="10" fontId="49" fillId="30" borderId="73" xfId="87" applyNumberFormat="1" applyFont="1" applyFill="1" applyBorder="1" applyAlignment="1">
      <alignment horizontal="center" vertical="center" wrapText="1"/>
    </xf>
    <xf numFmtId="10" fontId="49" fillId="30" borderId="0" xfId="87" applyNumberFormat="1" applyFont="1" applyFill="1" applyBorder="1" applyAlignment="1">
      <alignment horizontal="center" vertical="center" wrapText="1"/>
    </xf>
    <xf numFmtId="0" fontId="48" fillId="30" borderId="0" xfId="87" applyFont="1" applyFill="1" applyAlignment="1">
      <alignment horizontal="center"/>
    </xf>
    <xf numFmtId="0" fontId="60" fillId="31" borderId="0" xfId="87" applyFont="1" applyFill="1" applyAlignment="1">
      <alignment horizontal="center" vertical="center"/>
    </xf>
    <xf numFmtId="0" fontId="65" fillId="31" borderId="11" xfId="87" applyFont="1" applyFill="1" applyBorder="1" applyAlignment="1">
      <alignment horizontal="left" vertical="center" wrapText="1"/>
    </xf>
    <xf numFmtId="10" fontId="65" fillId="31" borderId="73" xfId="87" applyNumberFormat="1" applyFont="1" applyFill="1" applyBorder="1" applyAlignment="1">
      <alignment horizontal="center" vertical="center"/>
    </xf>
    <xf numFmtId="170" fontId="49" fillId="31" borderId="73" xfId="87" applyNumberFormat="1" applyFont="1" applyFill="1" applyBorder="1" applyAlignment="1">
      <alignment horizontal="center" vertical="center"/>
    </xf>
    <xf numFmtId="10" fontId="48" fillId="31" borderId="11" xfId="87" applyNumberFormat="1" applyFont="1" applyFill="1" applyBorder="1" applyAlignment="1">
      <alignment horizontal="center" vertical="center"/>
    </xf>
    <xf numFmtId="170" fontId="49" fillId="31" borderId="11" xfId="87" applyNumberFormat="1" applyFont="1" applyFill="1" applyBorder="1" applyAlignment="1">
      <alignment horizontal="center" vertical="center"/>
    </xf>
    <xf numFmtId="10" fontId="48" fillId="31" borderId="0" xfId="87" applyNumberFormat="1" applyFont="1" applyFill="1" applyAlignment="1">
      <alignment horizontal="center"/>
    </xf>
    <xf numFmtId="1" fontId="49" fillId="31" borderId="11" xfId="87" applyNumberFormat="1" applyFont="1" applyFill="1" applyBorder="1" applyAlignment="1">
      <alignment horizontal="center"/>
    </xf>
    <xf numFmtId="0" fontId="65" fillId="0" borderId="11" xfId="87" applyFont="1" applyBorder="1" applyAlignment="1">
      <alignment horizontal="left" vertical="center" wrapText="1"/>
    </xf>
    <xf numFmtId="10" fontId="65" fillId="0" borderId="73" xfId="87" applyNumberFormat="1" applyFont="1" applyBorder="1" applyAlignment="1">
      <alignment horizontal="center" vertical="center"/>
    </xf>
    <xf numFmtId="170" fontId="49" fillId="0" borderId="73" xfId="87" applyNumberFormat="1" applyFont="1" applyBorder="1" applyAlignment="1">
      <alignment horizontal="center" vertical="center"/>
    </xf>
    <xf numFmtId="10" fontId="48" fillId="0" borderId="11" xfId="87" applyNumberFormat="1" applyFont="1" applyBorder="1" applyAlignment="1">
      <alignment horizontal="center" vertical="center"/>
    </xf>
    <xf numFmtId="170" fontId="49" fillId="0" borderId="11" xfId="87" applyNumberFormat="1" applyFont="1" applyBorder="1" applyAlignment="1">
      <alignment horizontal="center" vertical="center"/>
    </xf>
    <xf numFmtId="10" fontId="65" fillId="29" borderId="11" xfId="88" applyNumberFormat="1" applyFont="1" applyFill="1" applyBorder="1" applyAlignment="1">
      <alignment horizontal="center" vertical="center"/>
    </xf>
    <xf numFmtId="170" fontId="49" fillId="29" borderId="11" xfId="87" applyNumberFormat="1" applyFont="1" applyFill="1" applyBorder="1" applyAlignment="1">
      <alignment horizontal="center" vertical="center"/>
    </xf>
    <xf numFmtId="1" fontId="49" fillId="0" borderId="11" xfId="87" applyNumberFormat="1" applyFont="1" applyBorder="1" applyAlignment="1">
      <alignment horizontal="center"/>
    </xf>
    <xf numFmtId="0" fontId="60" fillId="31" borderId="0" xfId="87" applyFont="1" applyFill="1" applyAlignment="1">
      <alignment vertical="center"/>
    </xf>
    <xf numFmtId="10" fontId="65" fillId="31" borderId="11" xfId="89" applyNumberFormat="1" applyFont="1" applyFill="1" applyBorder="1" applyAlignment="1" applyProtection="1">
      <alignment horizontal="center" vertical="center"/>
    </xf>
    <xf numFmtId="10" fontId="65" fillId="29" borderId="73" xfId="87" applyNumberFormat="1" applyFont="1" applyFill="1" applyBorder="1" applyAlignment="1">
      <alignment horizontal="center" vertical="center"/>
    </xf>
    <xf numFmtId="10" fontId="65" fillId="29" borderId="11" xfId="89" applyNumberFormat="1" applyFont="1" applyFill="1" applyBorder="1" applyAlignment="1" applyProtection="1">
      <alignment horizontal="center" vertical="center"/>
    </xf>
    <xf numFmtId="0" fontId="65" fillId="31" borderId="73" xfId="87" applyFont="1" applyFill="1" applyBorder="1" applyAlignment="1">
      <alignment horizontal="left" wrapText="1"/>
    </xf>
    <xf numFmtId="0" fontId="60" fillId="29" borderId="0" xfId="87" applyFont="1" applyFill="1" applyAlignment="1">
      <alignment vertical="center"/>
    </xf>
    <xf numFmtId="0" fontId="65" fillId="29" borderId="11" xfId="87" applyFont="1" applyFill="1" applyBorder="1" applyAlignment="1">
      <alignment horizontal="left" vertical="center" wrapText="1"/>
    </xf>
    <xf numFmtId="1" fontId="49" fillId="29" borderId="11" xfId="87" applyNumberFormat="1" applyFont="1" applyFill="1" applyBorder="1" applyAlignment="1">
      <alignment horizontal="center"/>
    </xf>
    <xf numFmtId="0" fontId="60" fillId="31" borderId="73" xfId="87" applyFont="1" applyFill="1" applyBorder="1" applyAlignment="1">
      <alignment vertical="center"/>
    </xf>
    <xf numFmtId="0" fontId="65" fillId="31" borderId="73" xfId="87" applyFont="1" applyFill="1" applyBorder="1" applyAlignment="1">
      <alignment horizontal="left" vertical="center" wrapText="1"/>
    </xf>
    <xf numFmtId="10" fontId="65" fillId="31" borderId="73" xfId="89" applyNumberFormat="1" applyFont="1" applyFill="1" applyBorder="1" applyAlignment="1" applyProtection="1">
      <alignment horizontal="center" vertical="center"/>
    </xf>
    <xf numFmtId="1" fontId="49" fillId="31" borderId="73" xfId="87" applyNumberFormat="1" applyFont="1" applyFill="1" applyBorder="1" applyAlignment="1">
      <alignment horizontal="center"/>
    </xf>
    <xf numFmtId="10" fontId="48" fillId="29" borderId="73" xfId="87" applyNumberFormat="1" applyFont="1" applyFill="1" applyBorder="1" applyAlignment="1">
      <alignment horizontal="center"/>
    </xf>
    <xf numFmtId="170" fontId="49" fillId="29" borderId="73" xfId="87" applyNumberFormat="1" applyFont="1" applyFill="1" applyBorder="1" applyAlignment="1">
      <alignment horizontal="center" vertical="center"/>
    </xf>
    <xf numFmtId="10" fontId="48" fillId="31" borderId="73" xfId="87" applyNumberFormat="1" applyFont="1" applyFill="1" applyBorder="1" applyAlignment="1">
      <alignment horizontal="center"/>
    </xf>
    <xf numFmtId="170" fontId="63" fillId="31" borderId="73" xfId="87" applyNumberFormat="1" applyFont="1" applyFill="1" applyBorder="1" applyAlignment="1">
      <alignment horizontal="center" vertical="center"/>
    </xf>
    <xf numFmtId="170" fontId="63" fillId="31" borderId="11" xfId="87" applyNumberFormat="1" applyFont="1" applyFill="1" applyBorder="1" applyAlignment="1">
      <alignment horizontal="center" vertical="center"/>
    </xf>
    <xf numFmtId="1" fontId="63" fillId="31" borderId="11" xfId="87" applyNumberFormat="1" applyFont="1" applyFill="1" applyBorder="1" applyAlignment="1">
      <alignment horizontal="center"/>
    </xf>
    <xf numFmtId="10" fontId="48" fillId="29" borderId="73" xfId="89" applyNumberFormat="1" applyFont="1" applyFill="1" applyBorder="1" applyAlignment="1" applyProtection="1">
      <alignment horizontal="center" vertical="center"/>
    </xf>
    <xf numFmtId="10" fontId="48" fillId="29" borderId="11" xfId="89" applyNumberFormat="1" applyFont="1" applyFill="1" applyBorder="1" applyAlignment="1" applyProtection="1">
      <alignment horizontal="center" vertical="center"/>
    </xf>
    <xf numFmtId="10" fontId="48" fillId="31" borderId="73" xfId="89" applyNumberFormat="1" applyFont="1" applyFill="1" applyBorder="1" applyAlignment="1" applyProtection="1">
      <alignment horizontal="center" vertical="center"/>
    </xf>
    <xf numFmtId="10" fontId="48" fillId="31" borderId="11" xfId="89" applyNumberFormat="1" applyFont="1" applyFill="1" applyBorder="1" applyAlignment="1" applyProtection="1">
      <alignment horizontal="center" vertical="center"/>
    </xf>
    <xf numFmtId="0" fontId="66" fillId="29" borderId="0" xfId="87" applyFont="1" applyFill="1" applyAlignment="1">
      <alignment vertical="center"/>
    </xf>
    <xf numFmtId="0" fontId="48" fillId="29" borderId="11" xfId="87" applyFont="1" applyFill="1" applyBorder="1" applyAlignment="1">
      <alignment horizontal="left" vertical="center" wrapText="1"/>
    </xf>
    <xf numFmtId="10" fontId="48" fillId="29" borderId="73" xfId="87" applyNumberFormat="1" applyFont="1" applyFill="1" applyBorder="1" applyAlignment="1">
      <alignment horizontal="center" vertical="center"/>
    </xf>
    <xf numFmtId="10" fontId="65" fillId="31" borderId="11" xfId="87" applyNumberFormat="1" applyFont="1" applyFill="1" applyBorder="1" applyAlignment="1">
      <alignment horizontal="center" vertical="center"/>
    </xf>
    <xf numFmtId="10" fontId="65" fillId="29" borderId="11" xfId="87" applyNumberFormat="1" applyFont="1" applyFill="1" applyBorder="1" applyAlignment="1">
      <alignment horizontal="center" vertical="center"/>
    </xf>
    <xf numFmtId="10" fontId="48" fillId="0" borderId="11" xfId="89" applyNumberFormat="1" applyFont="1" applyBorder="1" applyAlignment="1" applyProtection="1">
      <alignment horizontal="center" vertical="center"/>
    </xf>
    <xf numFmtId="174" fontId="48" fillId="0" borderId="11" xfId="89" applyNumberFormat="1" applyFont="1" applyBorder="1" applyAlignment="1" applyProtection="1">
      <alignment horizontal="center" vertical="center"/>
    </xf>
    <xf numFmtId="10" fontId="48" fillId="31" borderId="73" xfId="87" applyNumberFormat="1" applyFont="1" applyFill="1" applyBorder="1" applyAlignment="1">
      <alignment horizontal="center" vertical="center"/>
    </xf>
    <xf numFmtId="1" fontId="49" fillId="31" borderId="11" xfId="87" applyNumberFormat="1" applyFont="1" applyFill="1" applyBorder="1" applyAlignment="1">
      <alignment horizontal="center" vertical="center"/>
    </xf>
    <xf numFmtId="0" fontId="65" fillId="0" borderId="0" xfId="87" applyFont="1" applyBorder="1" applyAlignment="1">
      <alignment horizontal="center" vertical="center" wrapText="1"/>
    </xf>
    <xf numFmtId="0" fontId="65" fillId="29" borderId="73" xfId="87" applyFont="1" applyFill="1" applyBorder="1" applyAlignment="1">
      <alignment horizontal="center" vertical="center"/>
    </xf>
    <xf numFmtId="0" fontId="63" fillId="29" borderId="73" xfId="87" applyFont="1" applyFill="1" applyBorder="1" applyAlignment="1">
      <alignment horizontal="center" vertical="center"/>
    </xf>
    <xf numFmtId="0" fontId="65" fillId="0" borderId="0" xfId="87" applyFont="1" applyBorder="1" applyAlignment="1">
      <alignment horizontal="center" vertical="center"/>
    </xf>
    <xf numFmtId="0" fontId="63" fillId="0" borderId="0" xfId="87" applyFont="1" applyBorder="1" applyAlignment="1">
      <alignment horizontal="center" vertical="center"/>
    </xf>
    <xf numFmtId="0" fontId="65" fillId="29" borderId="0" xfId="87" applyFont="1" applyFill="1" applyBorder="1" applyAlignment="1">
      <alignment horizontal="center" vertical="center"/>
    </xf>
    <xf numFmtId="0" fontId="63" fillId="29" borderId="0" xfId="87" applyFont="1" applyFill="1" applyBorder="1" applyAlignment="1">
      <alignment horizontal="center" vertical="center"/>
    </xf>
    <xf numFmtId="0" fontId="49" fillId="30" borderId="0" xfId="87" applyFont="1" applyFill="1" applyBorder="1" applyAlignment="1">
      <alignment horizontal="center" vertical="center" wrapText="1"/>
    </xf>
    <xf numFmtId="0" fontId="49" fillId="30" borderId="73" xfId="87" applyFont="1" applyFill="1" applyBorder="1" applyAlignment="1">
      <alignment horizontal="center" vertical="center" wrapText="1"/>
    </xf>
    <xf numFmtId="10" fontId="48" fillId="31" borderId="73" xfId="87" applyNumberFormat="1" applyFont="1" applyFill="1" applyBorder="1" applyAlignment="1">
      <alignment horizontal="center" wrapText="1"/>
    </xf>
    <xf numFmtId="10" fontId="48" fillId="29" borderId="73" xfId="87" applyNumberFormat="1" applyFont="1" applyFill="1" applyBorder="1" applyAlignment="1">
      <alignment horizontal="center" wrapText="1"/>
    </xf>
    <xf numFmtId="170" fontId="63" fillId="0" borderId="11" xfId="87" applyNumberFormat="1" applyFont="1" applyBorder="1" applyAlignment="1">
      <alignment horizontal="center" vertical="center"/>
    </xf>
    <xf numFmtId="10" fontId="65" fillId="0" borderId="11" xfId="89" applyNumberFormat="1" applyFont="1" applyBorder="1" applyAlignment="1" applyProtection="1">
      <alignment horizontal="center" vertical="center"/>
    </xf>
    <xf numFmtId="10" fontId="65" fillId="31" borderId="73" xfId="87" applyNumberFormat="1" applyFont="1" applyFill="1" applyBorder="1" applyAlignment="1">
      <alignment horizontal="center" wrapText="1"/>
    </xf>
    <xf numFmtId="0" fontId="58" fillId="31" borderId="0" xfId="87" applyFill="1"/>
    <xf numFmtId="0" fontId="65" fillId="29" borderId="73" xfId="89" applyNumberFormat="1" applyFont="1" applyFill="1" applyBorder="1" applyAlignment="1" applyProtection="1">
      <alignment horizontal="center" vertical="center"/>
    </xf>
    <xf numFmtId="0" fontId="63" fillId="29" borderId="73" xfId="89" applyNumberFormat="1" applyFont="1" applyFill="1" applyBorder="1" applyAlignment="1" applyProtection="1">
      <alignment horizontal="center" vertical="center"/>
    </xf>
    <xf numFmtId="0" fontId="65" fillId="0" borderId="0" xfId="89" applyNumberFormat="1" applyFont="1" applyBorder="1" applyAlignment="1" applyProtection="1">
      <alignment horizontal="center" vertical="center"/>
    </xf>
    <xf numFmtId="0" fontId="63" fillId="0" borderId="0" xfId="89" applyNumberFormat="1" applyFont="1" applyBorder="1" applyAlignment="1" applyProtection="1">
      <alignment horizontal="center" vertical="center"/>
    </xf>
    <xf numFmtId="0" fontId="65" fillId="29" borderId="0" xfId="89" applyNumberFormat="1" applyFont="1" applyFill="1" applyBorder="1" applyAlignment="1" applyProtection="1">
      <alignment horizontal="center" vertical="center"/>
    </xf>
    <xf numFmtId="0" fontId="63" fillId="29" borderId="0" xfId="89" applyNumberFormat="1" applyFont="1" applyFill="1" applyBorder="1" applyAlignment="1" applyProtection="1">
      <alignment horizontal="center" vertical="center"/>
    </xf>
    <xf numFmtId="0" fontId="60" fillId="30" borderId="0" xfId="87" applyFont="1" applyFill="1" applyAlignment="1">
      <alignment vertical="center"/>
    </xf>
    <xf numFmtId="0" fontId="48" fillId="29" borderId="73" xfId="89" applyNumberFormat="1" applyFont="1" applyFill="1" applyBorder="1" applyAlignment="1" applyProtection="1">
      <alignment horizontal="center" vertical="center"/>
    </xf>
    <xf numFmtId="0" fontId="49" fillId="29" borderId="73" xfId="89" applyNumberFormat="1" applyFont="1" applyFill="1" applyBorder="1" applyAlignment="1" applyProtection="1">
      <alignment horizontal="center" vertical="center"/>
    </xf>
    <xf numFmtId="0" fontId="48" fillId="0" borderId="0" xfId="89" applyNumberFormat="1" applyFont="1" applyBorder="1" applyAlignment="1" applyProtection="1">
      <alignment horizontal="center" vertical="center"/>
    </xf>
    <xf numFmtId="0" fontId="49" fillId="0" borderId="0" xfId="89" applyNumberFormat="1" applyFont="1" applyBorder="1" applyAlignment="1" applyProtection="1">
      <alignment horizontal="center" vertical="center"/>
    </xf>
    <xf numFmtId="0" fontId="48" fillId="29" borderId="0" xfId="89" applyNumberFormat="1" applyFont="1" applyFill="1" applyBorder="1" applyAlignment="1" applyProtection="1">
      <alignment horizontal="center" vertical="center"/>
    </xf>
    <xf numFmtId="0" fontId="49" fillId="29" borderId="0" xfId="89" applyNumberFormat="1" applyFont="1" applyFill="1" applyBorder="1" applyAlignment="1" applyProtection="1">
      <alignment horizontal="center" vertical="center"/>
    </xf>
    <xf numFmtId="0" fontId="65" fillId="0" borderId="0" xfId="87" applyFont="1" applyAlignment="1">
      <alignment vertical="center"/>
    </xf>
    <xf numFmtId="0" fontId="65" fillId="29" borderId="73" xfId="87" applyFont="1" applyFill="1" applyBorder="1" applyAlignment="1">
      <alignment vertical="center"/>
    </xf>
    <xf numFmtId="0" fontId="63" fillId="29" borderId="73" xfId="87" applyFont="1" applyFill="1" applyBorder="1" applyAlignment="1">
      <alignment vertical="center"/>
    </xf>
    <xf numFmtId="0" fontId="63" fillId="0" borderId="0" xfId="87" applyFont="1" applyAlignment="1">
      <alignment vertical="center"/>
    </xf>
    <xf numFmtId="0" fontId="65" fillId="29" borderId="0" xfId="87" applyFont="1" applyFill="1" applyAlignment="1">
      <alignment vertical="center"/>
    </xf>
    <xf numFmtId="0" fontId="63" fillId="29" borderId="0" xfId="87" applyFont="1" applyFill="1" applyAlignment="1">
      <alignment vertical="center"/>
    </xf>
    <xf numFmtId="0" fontId="63" fillId="30" borderId="0" xfId="87" applyFont="1" applyFill="1" applyBorder="1" applyAlignment="1">
      <alignment horizontal="center" vertical="center" wrapText="1"/>
    </xf>
    <xf numFmtId="0" fontId="63" fillId="30" borderId="73" xfId="87" applyFont="1" applyFill="1" applyBorder="1" applyAlignment="1">
      <alignment horizontal="center" vertical="center"/>
    </xf>
    <xf numFmtId="0" fontId="68" fillId="30" borderId="73" xfId="89" applyNumberFormat="1" applyFont="1" applyFill="1" applyBorder="1" applyAlignment="1" applyProtection="1">
      <alignment horizontal="center" vertical="center"/>
    </xf>
    <xf numFmtId="0" fontId="68" fillId="30" borderId="0" xfId="89" applyNumberFormat="1" applyFont="1" applyFill="1" applyBorder="1" applyAlignment="1" applyProtection="1">
      <alignment horizontal="center" vertical="center"/>
    </xf>
    <xf numFmtId="0" fontId="65" fillId="0" borderId="0" xfId="87" applyFont="1" applyAlignment="1">
      <alignment horizontal="center" vertical="center" wrapText="1"/>
    </xf>
    <xf numFmtId="10" fontId="58" fillId="0" borderId="0" xfId="87" applyNumberFormat="1"/>
    <xf numFmtId="0" fontId="48" fillId="0" borderId="11" xfId="87" applyFont="1" applyBorder="1" applyAlignment="1">
      <alignment horizontal="left" vertical="center" wrapText="1"/>
    </xf>
    <xf numFmtId="0" fontId="65" fillId="30" borderId="73" xfId="89" applyNumberFormat="1" applyFont="1" applyFill="1" applyBorder="1" applyAlignment="1" applyProtection="1">
      <alignment horizontal="center" vertical="center"/>
    </xf>
    <xf numFmtId="0" fontId="63" fillId="30" borderId="73" xfId="89" applyNumberFormat="1" applyFont="1" applyFill="1" applyBorder="1" applyAlignment="1" applyProtection="1">
      <alignment horizontal="center" vertical="center"/>
    </xf>
    <xf numFmtId="0" fontId="65" fillId="30" borderId="0" xfId="89" applyNumberFormat="1" applyFont="1" applyFill="1" applyBorder="1" applyAlignment="1" applyProtection="1">
      <alignment horizontal="center" vertical="center"/>
    </xf>
    <xf numFmtId="0" fontId="63" fillId="30" borderId="0" xfId="89" applyNumberFormat="1" applyFont="1" applyFill="1" applyBorder="1" applyAlignment="1" applyProtection="1">
      <alignment horizontal="center" vertical="center"/>
    </xf>
    <xf numFmtId="0" fontId="60" fillId="31" borderId="0" xfId="87" applyFont="1" applyFill="1" applyBorder="1" applyAlignment="1">
      <alignment vertical="center"/>
    </xf>
    <xf numFmtId="0" fontId="60" fillId="29" borderId="0" xfId="87" applyFont="1" applyFill="1" applyBorder="1" applyAlignment="1">
      <alignment vertical="center"/>
    </xf>
    <xf numFmtId="0" fontId="65" fillId="29" borderId="11" xfId="89" applyNumberFormat="1" applyFont="1" applyFill="1" applyBorder="1" applyAlignment="1" applyProtection="1">
      <alignment horizontal="center" vertical="center"/>
    </xf>
    <xf numFmtId="0" fontId="65" fillId="29" borderId="0" xfId="87" applyFont="1" applyFill="1" applyBorder="1" applyAlignment="1">
      <alignment horizontal="center" vertical="center" wrapText="1"/>
    </xf>
    <xf numFmtId="0" fontId="65" fillId="30" borderId="0" xfId="87" applyFont="1" applyFill="1" applyAlignment="1">
      <alignment horizontal="center"/>
    </xf>
    <xf numFmtId="0" fontId="65" fillId="29" borderId="11" xfId="87" applyFont="1" applyFill="1" applyBorder="1" applyAlignment="1">
      <alignment horizontal="center" vertical="center"/>
    </xf>
    <xf numFmtId="10" fontId="63" fillId="29" borderId="73" xfId="87" applyNumberFormat="1" applyFont="1" applyFill="1" applyBorder="1" applyAlignment="1">
      <alignment horizontal="center" vertical="center"/>
    </xf>
    <xf numFmtId="10" fontId="63" fillId="0" borderId="0" xfId="87" applyNumberFormat="1" applyFont="1" applyAlignment="1">
      <alignment horizontal="center" vertical="center"/>
    </xf>
    <xf numFmtId="10" fontId="63" fillId="29" borderId="0" xfId="87" applyNumberFormat="1" applyFont="1" applyFill="1" applyAlignment="1">
      <alignment horizontal="center" vertical="center"/>
    </xf>
    <xf numFmtId="0" fontId="60" fillId="30" borderId="0" xfId="87" applyFont="1" applyFill="1" applyBorder="1" applyAlignment="1">
      <alignment vertical="center"/>
    </xf>
    <xf numFmtId="0" fontId="48" fillId="0" borderId="0" xfId="87" applyFont="1" applyAlignment="1">
      <alignment wrapText="1"/>
    </xf>
    <xf numFmtId="0" fontId="48" fillId="29" borderId="73" xfId="87" applyFont="1" applyFill="1" applyBorder="1" applyAlignment="1">
      <alignment horizontal="center"/>
    </xf>
    <xf numFmtId="0" fontId="48" fillId="29" borderId="73" xfId="87" applyFont="1" applyFill="1" applyBorder="1"/>
    <xf numFmtId="0" fontId="49" fillId="29" borderId="73" xfId="87" applyFont="1" applyFill="1" applyBorder="1"/>
    <xf numFmtId="0" fontId="48" fillId="0" borderId="0" xfId="87" applyFont="1"/>
    <xf numFmtId="0" fontId="49" fillId="0" borderId="0" xfId="87" applyFont="1"/>
    <xf numFmtId="0" fontId="48" fillId="29" borderId="0" xfId="87" applyFont="1" applyFill="1"/>
    <xf numFmtId="0" fontId="49" fillId="29" borderId="0" xfId="87" applyFont="1" applyFill="1"/>
    <xf numFmtId="10" fontId="65" fillId="31" borderId="73" xfId="87" applyNumberFormat="1" applyFont="1" applyFill="1" applyBorder="1"/>
    <xf numFmtId="0" fontId="58" fillId="0" borderId="0" xfId="87" applyFont="1"/>
    <xf numFmtId="0" fontId="58" fillId="0" borderId="0" xfId="87" applyFont="1" applyAlignment="1">
      <alignment horizontal="center"/>
    </xf>
    <xf numFmtId="0" fontId="18" fillId="0" borderId="55" xfId="0" applyFont="1" applyFill="1" applyBorder="1"/>
    <xf numFmtId="0" fontId="18" fillId="0" borderId="50" xfId="0" applyFont="1" applyFill="1" applyBorder="1"/>
    <xf numFmtId="0" fontId="18" fillId="26" borderId="30" xfId="0" applyFont="1" applyFill="1" applyBorder="1"/>
    <xf numFmtId="0" fontId="18" fillId="26" borderId="72" xfId="0" applyFont="1" applyFill="1" applyBorder="1"/>
    <xf numFmtId="0" fontId="69" fillId="0" borderId="0" xfId="90"/>
    <xf numFmtId="0" fontId="24" fillId="24" borderId="41" xfId="53" applyFont="1" applyFill="1" applyBorder="1" applyAlignment="1">
      <alignment horizontal="center" vertical="center" wrapText="1"/>
    </xf>
    <xf numFmtId="0" fontId="25" fillId="0" borderId="74" xfId="53" applyFont="1" applyBorder="1" applyAlignment="1">
      <alignment horizontal="center" vertical="center"/>
    </xf>
    <xf numFmtId="0" fontId="25" fillId="0" borderId="75" xfId="53" applyFont="1" applyBorder="1" applyAlignment="1">
      <alignment horizontal="center" vertical="center"/>
    </xf>
    <xf numFmtId="0" fontId="25" fillId="0" borderId="75" xfId="53" quotePrefix="1" applyFont="1" applyBorder="1" applyAlignment="1">
      <alignment horizontal="center" vertical="center" wrapText="1"/>
    </xf>
    <xf numFmtId="0" fontId="25" fillId="26" borderId="11" xfId="53" applyFont="1" applyFill="1" applyBorder="1" applyAlignment="1">
      <alignment horizontal="right" vertical="center" wrapText="1"/>
    </xf>
    <xf numFmtId="44" fontId="25" fillId="0" borderId="61" xfId="91" applyFont="1" applyBorder="1" applyAlignment="1">
      <alignment horizontal="right" vertical="center"/>
    </xf>
    <xf numFmtId="44" fontId="25" fillId="0" borderId="31" xfId="91" applyFont="1" applyBorder="1" applyAlignment="1">
      <alignment horizontal="right" vertical="center"/>
    </xf>
    <xf numFmtId="44" fontId="25" fillId="0" borderId="17" xfId="91" applyFont="1" applyBorder="1" applyAlignment="1">
      <alignment horizontal="right" vertical="center"/>
    </xf>
    <xf numFmtId="3" fontId="25" fillId="0" borderId="75" xfId="53" applyNumberFormat="1" applyFont="1" applyBorder="1" applyAlignment="1">
      <alignment horizontal="right" vertical="center"/>
    </xf>
    <xf numFmtId="44" fontId="25" fillId="0" borderId="60" xfId="91" applyFont="1" applyBorder="1" applyAlignment="1">
      <alignment vertical="center"/>
    </xf>
    <xf numFmtId="44" fontId="25" fillId="0" borderId="75" xfId="91" applyFont="1" applyBorder="1" applyAlignment="1">
      <alignment vertical="center"/>
    </xf>
    <xf numFmtId="44" fontId="25" fillId="0" borderId="19" xfId="91" applyFont="1" applyBorder="1" applyAlignment="1">
      <alignment horizontal="right" vertical="center" wrapText="1"/>
    </xf>
    <xf numFmtId="167" fontId="25" fillId="26" borderId="12" xfId="53" applyNumberFormat="1" applyFont="1" applyFill="1" applyBorder="1" applyAlignment="1">
      <alignment horizontal="right" vertical="center" wrapText="1"/>
    </xf>
    <xf numFmtId="166" fontId="25" fillId="26" borderId="12" xfId="53" quotePrefix="1" applyNumberFormat="1" applyFont="1" applyFill="1" applyBorder="1" applyAlignment="1">
      <alignment horizontal="right" vertical="center" wrapText="1"/>
    </xf>
    <xf numFmtId="167" fontId="25" fillId="28" borderId="16" xfId="53" quotePrefix="1" applyNumberFormat="1" applyFont="1" applyFill="1" applyBorder="1" applyAlignment="1">
      <alignment horizontal="right" vertical="center" wrapText="1"/>
    </xf>
    <xf numFmtId="0" fontId="25" fillId="0" borderId="76" xfId="53" applyFont="1" applyBorder="1" applyAlignment="1">
      <alignment horizontal="center" vertical="center"/>
    </xf>
    <xf numFmtId="0" fontId="25" fillId="26" borderId="71" xfId="53" applyFont="1" applyFill="1" applyBorder="1" applyAlignment="1">
      <alignment horizontal="right" vertical="center"/>
    </xf>
    <xf numFmtId="0" fontId="25" fillId="26" borderId="71" xfId="53" applyFont="1" applyFill="1" applyBorder="1" applyAlignment="1">
      <alignment horizontal="center" vertical="center"/>
    </xf>
    <xf numFmtId="0" fontId="25" fillId="28" borderId="30" xfId="53" applyFont="1" applyFill="1" applyBorder="1" applyAlignment="1">
      <alignment horizontal="center" vertical="center"/>
    </xf>
    <xf numFmtId="0" fontId="25" fillId="25" borderId="20" xfId="53" applyFont="1" applyFill="1" applyBorder="1" applyAlignment="1">
      <alignment horizontal="center" vertical="center"/>
    </xf>
    <xf numFmtId="0" fontId="25" fillId="25" borderId="59" xfId="53" applyFont="1" applyFill="1" applyBorder="1" applyAlignment="1">
      <alignment horizontal="center" vertical="center"/>
    </xf>
    <xf numFmtId="0" fontId="25" fillId="25" borderId="77" xfId="53" applyFont="1" applyFill="1" applyBorder="1" applyAlignment="1">
      <alignment horizontal="center" vertical="center"/>
    </xf>
    <xf numFmtId="0" fontId="25" fillId="28" borderId="78" xfId="53" applyFont="1" applyFill="1" applyBorder="1" applyAlignment="1">
      <alignment horizontal="center" vertical="center"/>
    </xf>
    <xf numFmtId="0" fontId="25" fillId="26" borderId="63" xfId="53" applyFont="1" applyFill="1" applyBorder="1" applyAlignment="1">
      <alignment horizontal="center" vertical="center"/>
    </xf>
    <xf numFmtId="0" fontId="25" fillId="26" borderId="33" xfId="53" applyFont="1" applyFill="1" applyBorder="1" applyAlignment="1">
      <alignment horizontal="center" vertical="center"/>
    </xf>
    <xf numFmtId="0" fontId="25" fillId="28" borderId="60" xfId="53" applyFont="1" applyFill="1" applyBorder="1" applyAlignment="1">
      <alignment horizontal="center" vertical="center"/>
    </xf>
    <xf numFmtId="0" fontId="25" fillId="26" borderId="60" xfId="53" applyFont="1" applyFill="1" applyBorder="1" applyAlignment="1">
      <alignment horizontal="center" vertical="center"/>
    </xf>
    <xf numFmtId="0" fontId="25" fillId="28" borderId="79" xfId="53" applyFont="1" applyFill="1" applyBorder="1" applyAlignment="1">
      <alignment horizontal="center" vertical="center"/>
    </xf>
    <xf numFmtId="0" fontId="25" fillId="26" borderId="79" xfId="53" applyFont="1" applyFill="1" applyBorder="1" applyAlignment="1">
      <alignment horizontal="center" vertical="center"/>
    </xf>
    <xf numFmtId="0" fontId="25" fillId="26" borderId="36" xfId="53" applyFont="1" applyFill="1" applyBorder="1" applyAlignment="1">
      <alignment horizontal="center" vertical="center"/>
    </xf>
    <xf numFmtId="0" fontId="25" fillId="25" borderId="60" xfId="53" applyFont="1" applyFill="1" applyBorder="1" applyAlignment="1">
      <alignment horizontal="center" vertical="center"/>
    </xf>
    <xf numFmtId="0" fontId="25" fillId="28" borderId="18" xfId="53" applyFont="1" applyFill="1" applyBorder="1" applyAlignment="1">
      <alignment horizontal="center" vertical="center"/>
    </xf>
    <xf numFmtId="0" fontId="25" fillId="28" borderId="62" xfId="53" applyFont="1" applyFill="1" applyBorder="1" applyAlignment="1">
      <alignment horizontal="center" vertical="center"/>
    </xf>
    <xf numFmtId="0" fontId="25" fillId="28" borderId="48" xfId="53" applyFont="1" applyFill="1" applyBorder="1" applyAlignment="1">
      <alignment horizontal="center" vertical="center"/>
    </xf>
    <xf numFmtId="0" fontId="25" fillId="26" borderId="12" xfId="53" applyFont="1" applyFill="1" applyBorder="1" applyAlignment="1">
      <alignment horizontal="center" vertical="center"/>
    </xf>
    <xf numFmtId="0" fontId="1" fillId="0" borderId="0" xfId="92"/>
    <xf numFmtId="0" fontId="44" fillId="25" borderId="11" xfId="92" applyFont="1" applyFill="1" applyBorder="1" applyAlignment="1">
      <alignment horizontal="center" vertical="center" wrapText="1"/>
    </xf>
    <xf numFmtId="0" fontId="43" fillId="0" borderId="11" xfId="92" applyFont="1" applyFill="1" applyBorder="1"/>
    <xf numFmtId="0" fontId="44" fillId="0" borderId="11" xfId="92" applyFont="1" applyFill="1" applyBorder="1" applyAlignment="1">
      <alignment horizontal="center"/>
    </xf>
    <xf numFmtId="3" fontId="44" fillId="0" borderId="11" xfId="92" applyNumberFormat="1" applyFont="1" applyFill="1" applyBorder="1" applyAlignment="1">
      <alignment horizontal="center"/>
    </xf>
    <xf numFmtId="171" fontId="44" fillId="0" borderId="11" xfId="92" applyNumberFormat="1" applyFont="1" applyFill="1" applyBorder="1" applyAlignment="1">
      <alignment horizontal="center"/>
    </xf>
    <xf numFmtId="172" fontId="44" fillId="0" borderId="0" xfId="92" applyNumberFormat="1" applyFont="1" applyAlignment="1">
      <alignment horizontal="center"/>
    </xf>
    <xf numFmtId="172" fontId="44" fillId="0" borderId="11" xfId="92" applyNumberFormat="1" applyFont="1" applyBorder="1" applyAlignment="1">
      <alignment horizontal="center"/>
    </xf>
    <xf numFmtId="168" fontId="44" fillId="0" borderId="11" xfId="92" applyNumberFormat="1" applyFont="1" applyFill="1" applyBorder="1" applyAlignment="1">
      <alignment horizontal="center"/>
    </xf>
    <xf numFmtId="168" fontId="44" fillId="0" borderId="0" xfId="92" applyNumberFormat="1" applyFont="1" applyFill="1" applyBorder="1" applyAlignment="1">
      <alignment horizontal="center"/>
    </xf>
    <xf numFmtId="0" fontId="1" fillId="0" borderId="0" xfId="92" applyBorder="1"/>
    <xf numFmtId="168" fontId="44" fillId="0" borderId="0" xfId="92" applyNumberFormat="1" applyFont="1" applyAlignment="1">
      <alignment horizontal="center"/>
    </xf>
    <xf numFmtId="168" fontId="44" fillId="0" borderId="11" xfId="92" applyNumberFormat="1" applyFont="1" applyBorder="1" applyAlignment="1">
      <alignment horizontal="center"/>
    </xf>
    <xf numFmtId="0" fontId="45" fillId="27" borderId="11" xfId="92" applyFont="1" applyFill="1" applyBorder="1"/>
    <xf numFmtId="0" fontId="44" fillId="27" borderId="11" xfId="92" applyFont="1" applyFill="1" applyBorder="1" applyAlignment="1">
      <alignment horizontal="center"/>
    </xf>
    <xf numFmtId="3" fontId="44" fillId="27" borderId="11" xfId="92" applyNumberFormat="1" applyFont="1" applyFill="1" applyBorder="1" applyAlignment="1">
      <alignment horizontal="center"/>
    </xf>
    <xf numFmtId="173" fontId="44" fillId="0" borderId="11" xfId="92" applyNumberFormat="1" applyFont="1" applyFill="1" applyBorder="1" applyAlignment="1">
      <alignment horizontal="center"/>
    </xf>
    <xf numFmtId="168" fontId="44" fillId="0" borderId="11" xfId="92" applyNumberFormat="1" applyFont="1" applyFill="1" applyBorder="1" applyAlignment="1"/>
    <xf numFmtId="172" fontId="43" fillId="27" borderId="11" xfId="92" applyNumberFormat="1" applyFont="1" applyFill="1" applyBorder="1" applyAlignment="1">
      <alignment horizontal="center"/>
    </xf>
    <xf numFmtId="4" fontId="44" fillId="0" borderId="11" xfId="92" applyNumberFormat="1" applyFont="1" applyFill="1" applyBorder="1" applyAlignment="1">
      <alignment horizontal="center"/>
    </xf>
    <xf numFmtId="169" fontId="44" fillId="0" borderId="11" xfId="92" applyNumberFormat="1" applyFont="1" applyFill="1" applyBorder="1" applyAlignment="1">
      <alignment horizontal="center"/>
    </xf>
    <xf numFmtId="0" fontId="44" fillId="0" borderId="11" xfId="92" applyNumberFormat="1" applyFont="1" applyFill="1" applyBorder="1" applyAlignment="1">
      <alignment horizontal="center"/>
    </xf>
    <xf numFmtId="1" fontId="44" fillId="0" borderId="11" xfId="92" applyNumberFormat="1" applyFont="1" applyFill="1" applyBorder="1" applyAlignment="1">
      <alignment horizontal="center"/>
    </xf>
    <xf numFmtId="0" fontId="43" fillId="0" borderId="11" xfId="92" applyFont="1" applyFill="1" applyBorder="1" applyAlignment="1">
      <alignment horizontal="center"/>
    </xf>
    <xf numFmtId="3" fontId="43" fillId="0" borderId="11" xfId="92" applyNumberFormat="1" applyFont="1" applyFill="1" applyBorder="1" applyAlignment="1">
      <alignment horizontal="center"/>
    </xf>
    <xf numFmtId="168" fontId="43" fillId="0" borderId="11" xfId="92" applyNumberFormat="1" applyFont="1" applyFill="1" applyBorder="1" applyAlignment="1"/>
    <xf numFmtId="3" fontId="1" fillId="0" borderId="0" xfId="92" applyNumberFormat="1"/>
    <xf numFmtId="0" fontId="44" fillId="27" borderId="11" xfId="92" applyFont="1" applyFill="1" applyBorder="1"/>
    <xf numFmtId="171" fontId="44" fillId="27" borderId="11" xfId="92" applyNumberFormat="1" applyFont="1" applyFill="1" applyBorder="1" applyAlignment="1">
      <alignment horizontal="center"/>
    </xf>
    <xf numFmtId="168" fontId="44" fillId="27" borderId="11" xfId="92" applyNumberFormat="1" applyFont="1" applyFill="1" applyBorder="1" applyAlignment="1">
      <alignment horizontal="center"/>
    </xf>
    <xf numFmtId="0" fontId="43" fillId="0" borderId="11" xfId="92" applyNumberFormat="1" applyFont="1" applyFill="1" applyBorder="1" applyAlignment="1">
      <alignment horizontal="center"/>
    </xf>
    <xf numFmtId="9" fontId="44" fillId="0" borderId="11" xfId="93" applyFont="1" applyFill="1" applyBorder="1" applyAlignment="1">
      <alignment horizontal="center"/>
    </xf>
    <xf numFmtId="0" fontId="1" fillId="0" borderId="0" xfId="92" applyAlignment="1">
      <alignment horizontal="center"/>
    </xf>
    <xf numFmtId="168" fontId="1" fillId="0" borderId="0" xfId="92" applyNumberFormat="1"/>
    <xf numFmtId="168" fontId="1" fillId="0" borderId="0" xfId="92" applyNumberFormat="1" applyAlignment="1">
      <alignment horizontal="center"/>
    </xf>
    <xf numFmtId="0" fontId="25" fillId="0" borderId="49" xfId="0" applyFont="1" applyFill="1" applyBorder="1" applyAlignment="1">
      <alignment wrapText="1"/>
    </xf>
    <xf numFmtId="0" fontId="0" fillId="0" borderId="50" xfId="0" applyBorder="1" applyAlignment="1">
      <alignment wrapText="1"/>
    </xf>
    <xf numFmtId="0" fontId="0" fillId="0" borderId="51" xfId="0" applyBorder="1" applyAlignment="1">
      <alignment wrapText="1"/>
    </xf>
    <xf numFmtId="0" fontId="20" fillId="0" borderId="41" xfId="0" applyFont="1" applyBorder="1" applyAlignment="1">
      <alignment horizontal="center" vertical="center"/>
    </xf>
    <xf numFmtId="0" fontId="20" fillId="0" borderId="37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0" fillId="0" borderId="31" xfId="0" applyFont="1" applyBorder="1" applyAlignment="1"/>
    <xf numFmtId="0" fontId="20" fillId="0" borderId="0" xfId="0" applyFont="1" applyBorder="1" applyAlignment="1"/>
    <xf numFmtId="0" fontId="24" fillId="24" borderId="22" xfId="0" applyFont="1" applyFill="1" applyBorder="1" applyAlignment="1">
      <alignment horizontal="center" vertical="center"/>
    </xf>
    <xf numFmtId="0" fontId="24" fillId="24" borderId="17" xfId="0" applyFont="1" applyFill="1" applyBorder="1" applyAlignment="1">
      <alignment horizontal="center" vertical="center"/>
    </xf>
    <xf numFmtId="0" fontId="24" fillId="24" borderId="19" xfId="0" applyFont="1" applyFill="1" applyBorder="1" applyAlignment="1">
      <alignment horizontal="center" vertical="center"/>
    </xf>
    <xf numFmtId="0" fontId="24" fillId="24" borderId="10" xfId="0" applyFont="1" applyFill="1" applyBorder="1" applyAlignment="1">
      <alignment horizontal="center" vertical="center" wrapText="1"/>
    </xf>
    <xf numFmtId="0" fontId="24" fillId="24" borderId="11" xfId="0" applyFont="1" applyFill="1" applyBorder="1" applyAlignment="1">
      <alignment horizontal="center" vertical="center" wrapText="1"/>
    </xf>
    <xf numFmtId="0" fontId="24" fillId="24" borderId="12" xfId="0" applyFont="1" applyFill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center"/>
    </xf>
    <xf numFmtId="0" fontId="24" fillId="24" borderId="14" xfId="0" applyFont="1" applyFill="1" applyBorder="1" applyAlignment="1">
      <alignment horizontal="center"/>
    </xf>
    <xf numFmtId="1" fontId="24" fillId="24" borderId="20" xfId="32" applyNumberFormat="1" applyFont="1" applyFill="1" applyBorder="1" applyAlignment="1">
      <alignment horizontal="center" vertical="center"/>
    </xf>
    <xf numFmtId="1" fontId="24" fillId="24" borderId="52" xfId="32" applyNumberFormat="1" applyFont="1" applyFill="1" applyBorder="1" applyAlignment="1">
      <alignment horizontal="center" vertical="center"/>
    </xf>
    <xf numFmtId="1" fontId="24" fillId="24" borderId="18" xfId="32" applyNumberFormat="1" applyFont="1" applyFill="1" applyBorder="1" applyAlignment="1">
      <alignment horizontal="center" vertical="center"/>
    </xf>
    <xf numFmtId="0" fontId="52" fillId="0" borderId="0" xfId="0" applyFont="1" applyAlignment="1"/>
    <xf numFmtId="0" fontId="52" fillId="24" borderId="22" xfId="0" applyFont="1" applyFill="1" applyBorder="1" applyAlignment="1">
      <alignment horizontal="center" vertical="center"/>
    </xf>
    <xf numFmtId="0" fontId="52" fillId="24" borderId="17" xfId="0" applyFont="1" applyFill="1" applyBorder="1" applyAlignment="1">
      <alignment horizontal="center" vertical="center"/>
    </xf>
    <xf numFmtId="0" fontId="52" fillId="24" borderId="19" xfId="0" applyFont="1" applyFill="1" applyBorder="1" applyAlignment="1">
      <alignment horizontal="center" vertical="center"/>
    </xf>
    <xf numFmtId="0" fontId="52" fillId="24" borderId="69" xfId="0" applyFont="1" applyFill="1" applyBorder="1" applyAlignment="1">
      <alignment horizontal="center" vertical="center" wrapText="1"/>
    </xf>
    <xf numFmtId="0" fontId="52" fillId="24" borderId="28" xfId="0" applyFont="1" applyFill="1" applyBorder="1" applyAlignment="1">
      <alignment horizontal="center" vertical="center" wrapText="1"/>
    </xf>
    <xf numFmtId="0" fontId="52" fillId="24" borderId="45" xfId="0" applyFont="1" applyFill="1" applyBorder="1" applyAlignment="1">
      <alignment horizontal="center" vertical="center" wrapText="1"/>
    </xf>
    <xf numFmtId="0" fontId="53" fillId="24" borderId="70" xfId="0" applyFont="1" applyFill="1" applyBorder="1" applyAlignment="1">
      <alignment horizontal="center" vertical="center" wrapText="1"/>
    </xf>
    <xf numFmtId="0" fontId="53" fillId="24" borderId="11" xfId="0" applyFont="1" applyFill="1" applyBorder="1" applyAlignment="1">
      <alignment horizontal="center" vertical="center" wrapText="1"/>
    </xf>
    <xf numFmtId="0" fontId="53" fillId="24" borderId="12" xfId="0" applyFont="1" applyFill="1" applyBorder="1" applyAlignment="1">
      <alignment horizontal="center" vertical="center" wrapText="1"/>
    </xf>
    <xf numFmtId="2" fontId="0" fillId="0" borderId="41" xfId="0" applyNumberFormat="1" applyBorder="1" applyAlignment="1">
      <alignment horizontal="center" vertical="center"/>
    </xf>
    <xf numFmtId="2" fontId="0" fillId="0" borderId="37" xfId="0" applyNumberFormat="1" applyBorder="1" applyAlignment="1">
      <alignment horizontal="center" vertical="center"/>
    </xf>
    <xf numFmtId="2" fontId="0" fillId="0" borderId="38" xfId="0" applyNumberFormat="1" applyBorder="1" applyAlignment="1">
      <alignment horizontal="center" vertical="center"/>
    </xf>
    <xf numFmtId="2" fontId="52" fillId="24" borderId="41" xfId="32" quotePrefix="1" applyNumberFormat="1" applyFont="1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20" fillId="0" borderId="0" xfId="53" applyFont="1" applyAlignment="1">
      <alignment horizontal="center" vertical="center"/>
    </xf>
    <xf numFmtId="0" fontId="24" fillId="24" borderId="22" xfId="53" applyFont="1" applyFill="1" applyBorder="1" applyAlignment="1">
      <alignment horizontal="center" vertical="center" wrapText="1"/>
    </xf>
    <xf numFmtId="0" fontId="24" fillId="24" borderId="17" xfId="53" applyFont="1" applyFill="1" applyBorder="1" applyAlignment="1">
      <alignment horizontal="center" vertical="center" wrapText="1"/>
    </xf>
    <xf numFmtId="0" fontId="24" fillId="24" borderId="19" xfId="53" applyFont="1" applyFill="1" applyBorder="1" applyAlignment="1">
      <alignment horizontal="center" vertical="center" wrapText="1"/>
    </xf>
    <xf numFmtId="0" fontId="24" fillId="24" borderId="10" xfId="53" applyFont="1" applyFill="1" applyBorder="1" applyAlignment="1">
      <alignment horizontal="center" vertical="center" wrapText="1"/>
    </xf>
    <xf numFmtId="0" fontId="24" fillId="24" borderId="11" xfId="53" applyFont="1" applyFill="1" applyBorder="1" applyAlignment="1">
      <alignment horizontal="center" vertical="center" wrapText="1"/>
    </xf>
    <xf numFmtId="0" fontId="24" fillId="24" borderId="12" xfId="53" applyFont="1" applyFill="1" applyBorder="1" applyAlignment="1">
      <alignment horizontal="center" vertical="center" wrapText="1"/>
    </xf>
    <xf numFmtId="1" fontId="24" fillId="24" borderId="37" xfId="54" applyNumberFormat="1" applyFont="1" applyFill="1" applyBorder="1" applyAlignment="1">
      <alignment horizontal="center" vertical="center"/>
    </xf>
    <xf numFmtId="1" fontId="24" fillId="24" borderId="38" xfId="54" applyNumberFormat="1" applyFont="1" applyFill="1" applyBorder="1" applyAlignment="1">
      <alignment horizontal="center" vertical="center"/>
    </xf>
    <xf numFmtId="1" fontId="24" fillId="24" borderId="58" xfId="54" applyNumberFormat="1" applyFont="1" applyFill="1" applyBorder="1" applyAlignment="1">
      <alignment horizontal="center" vertical="center"/>
    </xf>
    <xf numFmtId="1" fontId="24" fillId="24" borderId="13" xfId="54" applyNumberFormat="1" applyFont="1" applyFill="1" applyBorder="1" applyAlignment="1">
      <alignment horizontal="center" vertical="center"/>
    </xf>
    <xf numFmtId="1" fontId="24" fillId="24" borderId="53" xfId="54" applyNumberFormat="1" applyFont="1" applyFill="1" applyBorder="1" applyAlignment="1">
      <alignment horizontal="center" vertical="center"/>
    </xf>
    <xf numFmtId="0" fontId="25" fillId="0" borderId="41" xfId="0" applyFont="1" applyFill="1" applyBorder="1" applyAlignment="1">
      <alignment wrapText="1"/>
    </xf>
    <xf numFmtId="0" fontId="0" fillId="0" borderId="37" xfId="0" applyBorder="1" applyAlignment="1">
      <alignment wrapText="1"/>
    </xf>
    <xf numFmtId="0" fontId="0" fillId="0" borderId="38" xfId="0" applyBorder="1" applyAlignment="1">
      <alignment wrapText="1"/>
    </xf>
    <xf numFmtId="0" fontId="44" fillId="25" borderId="17" xfId="92" applyFont="1" applyFill="1" applyBorder="1" applyAlignment="1">
      <alignment horizontal="center" vertical="center" wrapText="1"/>
    </xf>
    <xf numFmtId="0" fontId="44" fillId="25" borderId="17" xfId="92" applyFont="1" applyFill="1" applyBorder="1" applyAlignment="1">
      <alignment wrapText="1"/>
    </xf>
    <xf numFmtId="0" fontId="44" fillId="25" borderId="19" xfId="92" applyFont="1" applyFill="1" applyBorder="1" applyAlignment="1">
      <alignment wrapText="1"/>
    </xf>
    <xf numFmtId="0" fontId="43" fillId="25" borderId="25" xfId="92" applyFont="1" applyFill="1" applyBorder="1" applyAlignment="1">
      <alignment horizontal="center" vertical="center"/>
    </xf>
    <xf numFmtId="0" fontId="43" fillId="25" borderId="29" xfId="92" applyFont="1" applyFill="1" applyBorder="1" applyAlignment="1">
      <alignment horizontal="center" vertical="center"/>
    </xf>
    <xf numFmtId="0" fontId="43" fillId="25" borderId="27" xfId="92" applyFont="1" applyFill="1" applyBorder="1" applyAlignment="1">
      <alignment horizontal="center" vertical="center"/>
    </xf>
    <xf numFmtId="0" fontId="43" fillId="25" borderId="56" xfId="92" applyFont="1" applyFill="1" applyBorder="1" applyAlignment="1">
      <alignment horizontal="center" vertical="center"/>
    </xf>
    <xf numFmtId="0" fontId="43" fillId="25" borderId="35" xfId="92" applyFont="1" applyFill="1" applyBorder="1" applyAlignment="1">
      <alignment horizontal="center" vertical="center"/>
    </xf>
    <xf numFmtId="0" fontId="43" fillId="25" borderId="55" xfId="92" applyFont="1" applyFill="1" applyBorder="1" applyAlignment="1">
      <alignment horizontal="center" vertical="center"/>
    </xf>
    <xf numFmtId="0" fontId="43" fillId="25" borderId="11" xfId="92" applyFont="1" applyFill="1" applyBorder="1" applyAlignment="1">
      <alignment horizontal="center" vertical="center"/>
    </xf>
    <xf numFmtId="0" fontId="43" fillId="25" borderId="17" xfId="92" applyFont="1" applyFill="1" applyBorder="1" applyAlignment="1">
      <alignment horizontal="center" vertical="center" wrapText="1"/>
    </xf>
    <xf numFmtId="0" fontId="43" fillId="25" borderId="17" xfId="92" applyFont="1" applyFill="1" applyBorder="1" applyAlignment="1"/>
    <xf numFmtId="0" fontId="43" fillId="25" borderId="11" xfId="92" applyFont="1" applyFill="1" applyBorder="1" applyAlignment="1"/>
    <xf numFmtId="0" fontId="43" fillId="25" borderId="33" xfId="92" applyFont="1" applyFill="1" applyBorder="1" applyAlignment="1">
      <alignment horizontal="center" vertical="center"/>
    </xf>
    <xf numFmtId="0" fontId="43" fillId="25" borderId="67" xfId="92" applyFont="1" applyFill="1" applyBorder="1" applyAlignment="1">
      <alignment horizontal="center" vertical="center"/>
    </xf>
    <xf numFmtId="0" fontId="43" fillId="25" borderId="0" xfId="92" applyFont="1" applyFill="1" applyBorder="1" applyAlignment="1">
      <alignment horizontal="center" vertical="center"/>
    </xf>
    <xf numFmtId="0" fontId="43" fillId="25" borderId="46" xfId="92" applyFont="1" applyFill="1" applyBorder="1" applyAlignment="1">
      <alignment horizontal="center" vertical="center"/>
    </xf>
    <xf numFmtId="0" fontId="43" fillId="25" borderId="36" xfId="92" applyFont="1" applyFill="1" applyBorder="1" applyAlignment="1">
      <alignment horizontal="center" vertical="center"/>
    </xf>
    <xf numFmtId="0" fontId="43" fillId="25" borderId="11" xfId="92" applyFont="1" applyFill="1" applyBorder="1" applyAlignment="1">
      <alignment wrapText="1"/>
    </xf>
    <xf numFmtId="0" fontId="43" fillId="25" borderId="17" xfId="92" applyFont="1" applyFill="1" applyBorder="1" applyAlignment="1">
      <alignment wrapText="1"/>
    </xf>
    <xf numFmtId="0" fontId="44" fillId="25" borderId="29" xfId="92" applyFont="1" applyFill="1" applyBorder="1" applyAlignment="1">
      <alignment horizontal="center" vertical="center" wrapText="1"/>
    </xf>
    <xf numFmtId="0" fontId="44" fillId="25" borderId="11" xfId="92" applyFont="1" applyFill="1" applyBorder="1" applyAlignment="1"/>
    <xf numFmtId="0" fontId="44" fillId="25" borderId="11" xfId="92" applyFont="1" applyFill="1" applyBorder="1" applyAlignment="1">
      <alignment wrapText="1"/>
    </xf>
    <xf numFmtId="0" fontId="63" fillId="0" borderId="0" xfId="87" applyFont="1" applyBorder="1" applyAlignment="1">
      <alignment horizontal="center" vertical="center" wrapText="1"/>
    </xf>
    <xf numFmtId="0" fontId="63" fillId="30" borderId="11" xfId="87" applyFont="1" applyFill="1" applyBorder="1" applyAlignment="1">
      <alignment horizontal="center" vertical="center" wrapText="1"/>
    </xf>
    <xf numFmtId="10" fontId="49" fillId="29" borderId="73" xfId="87" applyNumberFormat="1" applyFont="1" applyFill="1" applyBorder="1" applyAlignment="1">
      <alignment horizontal="center" vertical="center" wrapText="1"/>
    </xf>
    <xf numFmtId="10" fontId="49" fillId="30" borderId="11" xfId="87" applyNumberFormat="1" applyFont="1" applyFill="1" applyBorder="1" applyAlignment="1">
      <alignment horizontal="center" vertical="center" wrapText="1"/>
    </xf>
    <xf numFmtId="10" fontId="49" fillId="29" borderId="11" xfId="87" applyNumberFormat="1" applyFont="1" applyFill="1" applyBorder="1" applyAlignment="1">
      <alignment horizontal="center" vertical="center" wrapText="1"/>
    </xf>
  </cellXfs>
  <cellStyles count="94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2" xfId="74"/>
    <cellStyle name="Moneda 3" xfId="77"/>
    <cellStyle name="Moneda 4" xfId="79"/>
    <cellStyle name="Moneda 5" xfId="83"/>
    <cellStyle name="Moneda 6" xfId="84"/>
    <cellStyle name="Moneda 7" xfId="91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21" xfId="87"/>
    <cellStyle name="Normal 22" xfId="90"/>
    <cellStyle name="Normal 23" xfId="92"/>
    <cellStyle name="Normal 3" xfId="45"/>
    <cellStyle name="Normal 3 2" xfId="58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16" xfId="89"/>
    <cellStyle name="Porcentaje 17" xfId="93"/>
    <cellStyle name="Porcentaje 2" xfId="46"/>
    <cellStyle name="Porcentaje 3" xfId="49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exto explicativo 2" xfId="88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46080</xdr:colOff>
      <xdr:row>0</xdr:row>
      <xdr:rowOff>86400</xdr:rowOff>
    </xdr:from>
    <xdr:to>
      <xdr:col>1</xdr:col>
      <xdr:colOff>608207</xdr:colOff>
      <xdr:row>5</xdr:row>
      <xdr:rowOff>75960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436605" y="86400"/>
          <a:ext cx="2794440" cy="818235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NEXO%2030%20GENERAL%201&#186;%20TRIMESTRE%202019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Fuligna\Downloads\PLANILLA%20ENERO%2020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Fuligna\Downloads\planilla%20febrero%20201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Fuligna\Downloads\PLANILLA%20-Plan%20de%20accion%20mensua%20MARZO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Fuligna\Downloads\PLANILLA%20-Plan%20de%20accion%20mensual%20FEBRERO%20ultim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30 GENERAL 1º TRIMESTRE 2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 refreshError="1"/>
      <sheetData sheetId="1">
        <row r="7">
          <cell r="D7">
            <v>0.87</v>
          </cell>
          <cell r="E7">
            <v>1.19148936170213</v>
          </cell>
        </row>
        <row r="16">
          <cell r="D16">
            <v>2.2000000000000002</v>
          </cell>
          <cell r="E16">
            <v>2.2882548177388098</v>
          </cell>
        </row>
        <row r="23">
          <cell r="D23">
            <v>1.4710000000000001</v>
          </cell>
          <cell r="E23">
            <v>2.3305555555555602</v>
          </cell>
        </row>
        <row r="42">
          <cell r="D42">
            <v>14</v>
          </cell>
          <cell r="E42">
            <v>14</v>
          </cell>
        </row>
        <row r="63">
          <cell r="D63">
            <v>4.0833000000000004</v>
          </cell>
          <cell r="E63">
            <v>4.0846666666666698</v>
          </cell>
        </row>
        <row r="82">
          <cell r="D82">
            <v>8.4175000000000004</v>
          </cell>
          <cell r="E82">
            <v>5.0216464875423901</v>
          </cell>
        </row>
        <row r="99">
          <cell r="D99">
            <v>12</v>
          </cell>
          <cell r="E99">
            <v>11.1003921568627</v>
          </cell>
        </row>
        <row r="108">
          <cell r="D108">
            <v>2.4</v>
          </cell>
          <cell r="E108">
            <v>1.9168985059247801</v>
          </cell>
        </row>
        <row r="116">
          <cell r="D116">
            <v>2.2999999999999998</v>
          </cell>
          <cell r="E116">
            <v>2.3882701659913601</v>
          </cell>
        </row>
        <row r="124">
          <cell r="D124">
            <v>2</v>
          </cell>
          <cell r="E124">
            <v>2</v>
          </cell>
        </row>
        <row r="131">
          <cell r="D131">
            <v>2</v>
          </cell>
          <cell r="E131">
            <v>2</v>
          </cell>
        </row>
        <row r="138">
          <cell r="D138">
            <v>2</v>
          </cell>
          <cell r="E138">
            <v>2</v>
          </cell>
        </row>
        <row r="145">
          <cell r="D145">
            <v>2</v>
          </cell>
          <cell r="E145">
            <v>2</v>
          </cell>
        </row>
        <row r="152">
          <cell r="D152">
            <v>2</v>
          </cell>
          <cell r="E152">
            <v>2</v>
          </cell>
        </row>
        <row r="159">
          <cell r="D159">
            <v>2</v>
          </cell>
          <cell r="E159">
            <v>2</v>
          </cell>
        </row>
        <row r="166">
          <cell r="D166">
            <v>2</v>
          </cell>
          <cell r="E166">
            <v>2</v>
          </cell>
        </row>
        <row r="179">
          <cell r="E179">
            <v>3.3862484326939302</v>
          </cell>
        </row>
        <row r="186">
          <cell r="D186">
            <v>2</v>
          </cell>
          <cell r="E186">
            <v>2</v>
          </cell>
        </row>
        <row r="193">
          <cell r="D193">
            <v>2</v>
          </cell>
          <cell r="E193">
            <v>2</v>
          </cell>
        </row>
        <row r="204">
          <cell r="D204">
            <v>5.25</v>
          </cell>
          <cell r="E204">
            <v>5.1266443701226301</v>
          </cell>
        </row>
        <row r="213">
          <cell r="D213">
            <v>3.6</v>
          </cell>
          <cell r="E213">
            <v>3.3367948717948699</v>
          </cell>
        </row>
        <row r="222">
          <cell r="D222">
            <v>3.6</v>
          </cell>
          <cell r="E222">
            <v>3.2957142857142898</v>
          </cell>
        </row>
        <row r="231">
          <cell r="D231">
            <v>3.6</v>
          </cell>
          <cell r="E231">
            <v>3.7425925925925898</v>
          </cell>
        </row>
        <row r="243">
          <cell r="D243">
            <v>4.0599999999999996</v>
          </cell>
          <cell r="E243">
            <v>4.0878787878787897</v>
          </cell>
        </row>
        <row r="250">
          <cell r="D250">
            <v>1.5</v>
          </cell>
          <cell r="E250">
            <v>1.5</v>
          </cell>
        </row>
        <row r="257">
          <cell r="D257">
            <v>1.5</v>
          </cell>
          <cell r="E257">
            <v>1.5</v>
          </cell>
        </row>
        <row r="263">
          <cell r="D263">
            <v>1.5</v>
          </cell>
          <cell r="E263">
            <v>1.5</v>
          </cell>
        </row>
        <row r="270">
          <cell r="D270">
            <v>1.5</v>
          </cell>
          <cell r="E270">
            <v>1.5</v>
          </cell>
        </row>
        <row r="277">
          <cell r="D277">
            <v>2</v>
          </cell>
          <cell r="E277">
            <v>2</v>
          </cell>
        </row>
        <row r="284">
          <cell r="D284">
            <v>1.5</v>
          </cell>
          <cell r="E284">
            <v>1.5</v>
          </cell>
        </row>
        <row r="294">
          <cell r="D294">
            <v>2.7585999999999999</v>
          </cell>
          <cell r="E294">
            <v>2.6037503817719401</v>
          </cell>
        </row>
        <row r="302">
          <cell r="D302">
            <v>2.42</v>
          </cell>
          <cell r="E302">
            <v>1.6857786016949201</v>
          </cell>
        </row>
        <row r="309">
          <cell r="D309">
            <v>2.4500000000000002</v>
          </cell>
          <cell r="E309">
            <v>2.3939060516292798</v>
          </cell>
        </row>
        <row r="319">
          <cell r="D319">
            <v>2.12</v>
          </cell>
          <cell r="E319">
            <v>2.5590220645403199</v>
          </cell>
        </row>
        <row r="335">
          <cell r="D335">
            <v>4.2</v>
          </cell>
          <cell r="E335">
            <v>4</v>
          </cell>
        </row>
      </sheetData>
      <sheetData sheetId="2">
        <row r="10">
          <cell r="D10">
            <v>2.2000000000000002</v>
          </cell>
          <cell r="E10">
            <v>2.2615384615384602</v>
          </cell>
        </row>
        <row r="19">
          <cell r="D19">
            <v>2.4</v>
          </cell>
          <cell r="E19">
            <v>2.56819852941176</v>
          </cell>
        </row>
        <row r="29">
          <cell r="D29">
            <v>4.12</v>
          </cell>
          <cell r="E29">
            <v>3.59482051282051</v>
          </cell>
        </row>
        <row r="41">
          <cell r="D41">
            <v>6.65</v>
          </cell>
          <cell r="E41">
            <v>6.9</v>
          </cell>
        </row>
        <row r="59">
          <cell r="D59">
            <v>11.95</v>
          </cell>
          <cell r="E59">
            <v>12.213379179666701</v>
          </cell>
        </row>
        <row r="73">
          <cell r="D73">
            <v>8.44</v>
          </cell>
          <cell r="E73">
            <v>7.8016392810306296</v>
          </cell>
        </row>
        <row r="81">
          <cell r="D81">
            <v>3</v>
          </cell>
          <cell r="E81">
            <v>2.8919341161121999</v>
          </cell>
        </row>
        <row r="89">
          <cell r="D89">
            <v>2.35</v>
          </cell>
          <cell r="E89">
            <v>2.4500000000000002</v>
          </cell>
        </row>
        <row r="99">
          <cell r="D99">
            <v>3.4</v>
          </cell>
          <cell r="E99">
            <v>2.9375</v>
          </cell>
        </row>
        <row r="108">
          <cell r="D108">
            <v>0</v>
          </cell>
          <cell r="E108">
            <v>0</v>
          </cell>
        </row>
        <row r="116">
          <cell r="D116">
            <v>1.8</v>
          </cell>
          <cell r="E116">
            <v>1.9</v>
          </cell>
        </row>
      </sheetData>
      <sheetData sheetId="3">
        <row r="11">
          <cell r="D11">
            <v>2.89</v>
          </cell>
          <cell r="E11">
            <v>3.1146496815286602</v>
          </cell>
        </row>
        <row r="19">
          <cell r="D19">
            <v>2.4900000000000002</v>
          </cell>
          <cell r="E19">
            <v>2.4240446380674601</v>
          </cell>
        </row>
      </sheetData>
      <sheetData sheetId="4">
        <row r="12">
          <cell r="D12">
            <v>2.5</v>
          </cell>
          <cell r="E12">
            <v>2.8591549295774601</v>
          </cell>
        </row>
        <row r="20">
          <cell r="D20">
            <v>2.82</v>
          </cell>
          <cell r="E20">
            <v>2.9121212121212099</v>
          </cell>
        </row>
        <row r="31">
          <cell r="D31">
            <v>3.65</v>
          </cell>
          <cell r="E31">
            <v>3.6071428571428599</v>
          </cell>
        </row>
        <row r="38">
          <cell r="D38">
            <v>1.0277000000000001</v>
          </cell>
          <cell r="E38">
            <v>1.0277777777777799</v>
          </cell>
        </row>
        <row r="47">
          <cell r="D47">
            <v>3.8</v>
          </cell>
          <cell r="E47">
            <v>3.8</v>
          </cell>
        </row>
      </sheetData>
      <sheetData sheetId="5">
        <row r="8">
          <cell r="D8">
            <v>1.1000000000000001</v>
          </cell>
          <cell r="E8">
            <v>1.0952380952381</v>
          </cell>
        </row>
        <row r="18">
          <cell r="D18">
            <v>0.1</v>
          </cell>
          <cell r="E18">
            <v>0.101351351351351</v>
          </cell>
        </row>
        <row r="27">
          <cell r="D27">
            <v>2</v>
          </cell>
          <cell r="E27">
            <v>2.88</v>
          </cell>
        </row>
        <row r="35">
          <cell r="D35">
            <v>2.95</v>
          </cell>
          <cell r="E35">
            <v>2.9545454545454501</v>
          </cell>
        </row>
        <row r="44">
          <cell r="D44">
            <v>3.6</v>
          </cell>
          <cell r="E44">
            <v>2.8333333333333299</v>
          </cell>
        </row>
      </sheetData>
      <sheetData sheetId="6">
        <row r="12">
          <cell r="D12">
            <v>4</v>
          </cell>
          <cell r="E12">
            <v>4</v>
          </cell>
        </row>
        <row r="23">
          <cell r="D23">
            <v>2</v>
          </cell>
          <cell r="E23">
            <v>2</v>
          </cell>
        </row>
        <row r="36">
          <cell r="D36">
            <v>1</v>
          </cell>
          <cell r="E36">
            <v>1</v>
          </cell>
        </row>
      </sheetData>
      <sheetData sheetId="7">
        <row r="8">
          <cell r="D8">
            <v>1.92</v>
          </cell>
          <cell r="E8">
            <v>1.9838709677419399</v>
          </cell>
        </row>
        <row r="16">
          <cell r="D16">
            <v>2.5</v>
          </cell>
          <cell r="E16">
            <v>2.6172043010752701</v>
          </cell>
        </row>
        <row r="23">
          <cell r="D23">
            <v>2</v>
          </cell>
          <cell r="E23">
            <v>2</v>
          </cell>
        </row>
        <row r="30">
          <cell r="D30">
            <v>1.8</v>
          </cell>
          <cell r="E30">
            <v>1.73684210526316</v>
          </cell>
        </row>
      </sheetData>
      <sheetData sheetId="8">
        <row r="15">
          <cell r="D15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 refreshError="1"/>
      <sheetData sheetId="1">
        <row r="7">
          <cell r="D7">
            <v>0.87</v>
          </cell>
          <cell r="E7">
            <v>0.82142857142857095</v>
          </cell>
        </row>
        <row r="16">
          <cell r="D16">
            <v>2.2000000000000002</v>
          </cell>
          <cell r="E16">
            <v>2.3228803696557301</v>
          </cell>
        </row>
        <row r="23">
          <cell r="D23">
            <v>1.446</v>
          </cell>
          <cell r="E23">
            <v>3.6227272727272699</v>
          </cell>
        </row>
        <row r="42">
          <cell r="D42">
            <v>14</v>
          </cell>
          <cell r="E42">
            <v>13.2804054054054</v>
          </cell>
        </row>
        <row r="57">
          <cell r="D57">
            <v>4.1665999999999999</v>
          </cell>
          <cell r="E57">
            <v>4.0227817745803396</v>
          </cell>
        </row>
        <row r="76">
          <cell r="D76">
            <v>8.4175000000000004</v>
          </cell>
          <cell r="E76">
            <v>6.9499105545617201</v>
          </cell>
        </row>
        <row r="93">
          <cell r="D93">
            <v>12</v>
          </cell>
          <cell r="E93">
            <v>11.1020052310375</v>
          </cell>
        </row>
        <row r="101">
          <cell r="D101">
            <v>1.8</v>
          </cell>
          <cell r="E101">
            <v>1.86666666666667</v>
          </cell>
        </row>
        <row r="109">
          <cell r="D109">
            <v>2.1</v>
          </cell>
          <cell r="E109">
            <v>2.2642356066140099</v>
          </cell>
        </row>
        <row r="117">
          <cell r="D117">
            <v>2</v>
          </cell>
          <cell r="E117">
            <v>2</v>
          </cell>
        </row>
        <row r="124">
          <cell r="D124">
            <v>2</v>
          </cell>
          <cell r="E124">
            <v>2</v>
          </cell>
        </row>
        <row r="131">
          <cell r="D131">
            <v>2</v>
          </cell>
          <cell r="E131">
            <v>2</v>
          </cell>
        </row>
        <row r="138">
          <cell r="D138">
            <v>2</v>
          </cell>
          <cell r="E138">
            <v>2</v>
          </cell>
        </row>
        <row r="145">
          <cell r="D145">
            <v>2</v>
          </cell>
          <cell r="E145">
            <v>2</v>
          </cell>
        </row>
        <row r="152">
          <cell r="D152">
            <v>2</v>
          </cell>
          <cell r="E152">
            <v>2</v>
          </cell>
        </row>
        <row r="159">
          <cell r="D159">
            <v>2</v>
          </cell>
          <cell r="E159">
            <v>2</v>
          </cell>
        </row>
        <row r="172">
          <cell r="D172">
            <v>3.2719999999999998</v>
          </cell>
          <cell r="E172">
            <v>3.3577427790052998</v>
          </cell>
        </row>
        <row r="179">
          <cell r="D179">
            <v>2</v>
          </cell>
          <cell r="E179">
            <v>1</v>
          </cell>
        </row>
        <row r="186">
          <cell r="D186">
            <v>2</v>
          </cell>
          <cell r="E186">
            <v>2</v>
          </cell>
        </row>
        <row r="198">
          <cell r="D198">
            <v>5.25</v>
          </cell>
          <cell r="E198">
            <v>5.0861919360832397</v>
          </cell>
        </row>
        <row r="207">
          <cell r="D207">
            <v>3.6</v>
          </cell>
          <cell r="E207">
            <v>3.5687179487179499</v>
          </cell>
        </row>
        <row r="216">
          <cell r="D216">
            <v>3.6</v>
          </cell>
          <cell r="E216">
            <v>3.3114285714285701</v>
          </cell>
        </row>
        <row r="225">
          <cell r="D225">
            <v>3.5</v>
          </cell>
          <cell r="E225">
            <v>3.68611111111111</v>
          </cell>
        </row>
        <row r="238">
          <cell r="D238">
            <v>4.0599999999999996</v>
          </cell>
          <cell r="E238">
            <v>3.24975825946817</v>
          </cell>
        </row>
        <row r="245">
          <cell r="D245">
            <v>1.5</v>
          </cell>
          <cell r="E245">
            <v>1.5</v>
          </cell>
        </row>
        <row r="252">
          <cell r="D252">
            <v>1.6</v>
          </cell>
          <cell r="E252">
            <v>1.5</v>
          </cell>
        </row>
        <row r="258">
          <cell r="D258">
            <v>1.5</v>
          </cell>
          <cell r="E258">
            <v>1.5</v>
          </cell>
        </row>
        <row r="265">
          <cell r="D265">
            <v>1.5</v>
          </cell>
          <cell r="E265">
            <v>1.5</v>
          </cell>
        </row>
        <row r="272">
          <cell r="D272">
            <v>2</v>
          </cell>
          <cell r="E272">
            <v>2</v>
          </cell>
        </row>
        <row r="279">
          <cell r="D279">
            <v>1.5</v>
          </cell>
          <cell r="E279">
            <v>1.5</v>
          </cell>
        </row>
        <row r="289">
          <cell r="D289">
            <v>2.7492999999999999</v>
          </cell>
          <cell r="E289">
            <v>2.6746750454567798</v>
          </cell>
        </row>
        <row r="298">
          <cell r="D298">
            <v>2.42</v>
          </cell>
          <cell r="E298">
            <v>2.4646464646464601</v>
          </cell>
        </row>
        <row r="305">
          <cell r="D305">
            <v>2.4500000000000002</v>
          </cell>
          <cell r="E305">
            <v>2.5142938822184102</v>
          </cell>
        </row>
        <row r="321">
          <cell r="E321">
            <v>1.6233582170291001</v>
          </cell>
        </row>
        <row r="336">
          <cell r="D336">
            <v>4.3235000000000001</v>
          </cell>
          <cell r="E336">
            <v>4.12345679012346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 refreshError="1"/>
      <sheetData sheetId="1">
        <row r="7">
          <cell r="D7">
            <v>0.87</v>
          </cell>
          <cell r="E7">
            <v>1.0566037735849101</v>
          </cell>
        </row>
        <row r="16">
          <cell r="D16">
            <v>2.2000000000000002</v>
          </cell>
          <cell r="E16">
            <v>2.2772654344326799</v>
          </cell>
        </row>
        <row r="23">
          <cell r="D23">
            <v>1.8979999999999999</v>
          </cell>
          <cell r="E23">
            <v>2.3374689826302699</v>
          </cell>
        </row>
        <row r="42">
          <cell r="D42">
            <v>14</v>
          </cell>
          <cell r="E42">
            <v>14</v>
          </cell>
        </row>
        <row r="57">
          <cell r="D57">
            <v>5.1665999999999999</v>
          </cell>
        </row>
        <row r="76">
          <cell r="D76">
            <v>10.835000000000001</v>
          </cell>
          <cell r="E76">
            <v>5.8114258027243197</v>
          </cell>
        </row>
        <row r="93">
          <cell r="D93">
            <v>11.08</v>
          </cell>
          <cell r="E93">
            <v>12</v>
          </cell>
        </row>
        <row r="101">
          <cell r="D101">
            <v>2.5</v>
          </cell>
          <cell r="E101">
            <v>2.7007404263346499</v>
          </cell>
        </row>
        <row r="109">
          <cell r="D109">
            <v>2.1</v>
          </cell>
          <cell r="E109">
            <v>2.1762460503814101</v>
          </cell>
        </row>
        <row r="117">
          <cell r="D117">
            <v>2</v>
          </cell>
          <cell r="E117">
            <v>2</v>
          </cell>
        </row>
        <row r="124">
          <cell r="D124">
            <v>2</v>
          </cell>
          <cell r="E124">
            <v>2</v>
          </cell>
        </row>
        <row r="131">
          <cell r="D131">
            <v>2</v>
          </cell>
          <cell r="E131">
            <v>2</v>
          </cell>
        </row>
        <row r="138">
          <cell r="D138">
            <v>2</v>
          </cell>
          <cell r="E138">
            <v>2</v>
          </cell>
        </row>
        <row r="145">
          <cell r="D145">
            <v>2</v>
          </cell>
          <cell r="E145">
            <v>1.0999930800636599</v>
          </cell>
        </row>
        <row r="159">
          <cell r="D159">
            <v>2</v>
          </cell>
          <cell r="E159">
            <v>2</v>
          </cell>
        </row>
        <row r="172">
          <cell r="D172">
            <v>4.3150000000000004</v>
          </cell>
          <cell r="E172">
            <v>4.3999446690073603</v>
          </cell>
        </row>
        <row r="179">
          <cell r="D179">
            <v>2</v>
          </cell>
          <cell r="E179">
            <v>2</v>
          </cell>
        </row>
        <row r="186">
          <cell r="D186">
            <v>2</v>
          </cell>
          <cell r="E186">
            <v>2</v>
          </cell>
        </row>
        <row r="198">
          <cell r="D198">
            <v>5.25</v>
          </cell>
          <cell r="E198">
            <v>5.2898327759197299</v>
          </cell>
        </row>
        <row r="207">
          <cell r="D207">
            <v>3.6</v>
          </cell>
          <cell r="E207">
            <v>3.6349999999999998</v>
          </cell>
        </row>
        <row r="216">
          <cell r="D216">
            <v>3.6</v>
          </cell>
          <cell r="E216">
            <v>3.3457142857142901</v>
          </cell>
        </row>
        <row r="225">
          <cell r="D225">
            <v>3.5</v>
          </cell>
          <cell r="E225">
            <v>4.7166666666666703</v>
          </cell>
        </row>
        <row r="245">
          <cell r="D245">
            <v>1.5</v>
          </cell>
          <cell r="E245">
            <v>1.5</v>
          </cell>
        </row>
        <row r="252">
          <cell r="D252">
            <v>1.6</v>
          </cell>
          <cell r="E252">
            <v>1.5</v>
          </cell>
        </row>
        <row r="258">
          <cell r="D258">
            <v>1.5</v>
          </cell>
          <cell r="E258">
            <v>1.5</v>
          </cell>
        </row>
        <row r="265">
          <cell r="D265">
            <v>1.5</v>
          </cell>
          <cell r="E265">
            <v>1.5</v>
          </cell>
        </row>
        <row r="272">
          <cell r="D272">
            <v>2</v>
          </cell>
          <cell r="E272">
            <v>2</v>
          </cell>
        </row>
        <row r="279">
          <cell r="D279">
            <v>1.5</v>
          </cell>
          <cell r="E279">
            <v>1.5</v>
          </cell>
        </row>
        <row r="289">
          <cell r="D289">
            <v>2.7492999999999999</v>
          </cell>
          <cell r="E289">
            <v>2.7059343024000202</v>
          </cell>
        </row>
        <row r="298">
          <cell r="D298">
            <v>2.42</v>
          </cell>
          <cell r="E298">
            <v>2.3952226345083498</v>
          </cell>
        </row>
        <row r="305">
          <cell r="D305">
            <v>2.4500000000000002</v>
          </cell>
          <cell r="E305">
            <v>2.4381782945736399</v>
          </cell>
        </row>
        <row r="336">
          <cell r="D336">
            <v>4.1234999999999999</v>
          </cell>
          <cell r="E336">
            <v>4.12345679012346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2">
          <cell r="D12">
            <v>3</v>
          </cell>
          <cell r="E12">
            <v>4</v>
          </cell>
        </row>
        <row r="23">
          <cell r="D23">
            <v>3</v>
          </cell>
          <cell r="E23">
            <v>3</v>
          </cell>
        </row>
        <row r="36">
          <cell r="E36">
            <v>1</v>
          </cell>
        </row>
      </sheetData>
      <sheetData sheetId="7">
        <row r="9">
          <cell r="D9">
            <v>1.92</v>
          </cell>
          <cell r="E9">
            <v>1.9780913978494601</v>
          </cell>
        </row>
        <row r="17">
          <cell r="D17">
            <v>2.5</v>
          </cell>
          <cell r="E17">
            <v>2.6680000000000001</v>
          </cell>
        </row>
        <row r="24">
          <cell r="D24">
            <v>2</v>
          </cell>
          <cell r="E24">
            <v>2</v>
          </cell>
        </row>
        <row r="31">
          <cell r="D31">
            <v>1.8</v>
          </cell>
          <cell r="E31">
            <v>1.8333333333333299</v>
          </cell>
        </row>
      </sheetData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 refreshError="1"/>
      <sheetData sheetId="1" refreshError="1"/>
      <sheetData sheetId="2">
        <row r="12">
          <cell r="D12">
            <v>2.56</v>
          </cell>
          <cell r="E12">
            <v>2.5574712643678201</v>
          </cell>
        </row>
        <row r="21">
          <cell r="D21">
            <v>2.4</v>
          </cell>
          <cell r="E21">
            <v>2.60461610797655</v>
          </cell>
        </row>
        <row r="31">
          <cell r="D31">
            <v>4.0999999999999996</v>
          </cell>
          <cell r="E31">
            <v>4.14732467532468</v>
          </cell>
        </row>
        <row r="43">
          <cell r="D43">
            <v>6.65</v>
          </cell>
          <cell r="E43">
            <v>6.9</v>
          </cell>
        </row>
        <row r="61">
          <cell r="D61">
            <v>12.15</v>
          </cell>
          <cell r="E61">
            <v>12.218657736615301</v>
          </cell>
        </row>
        <row r="75">
          <cell r="D75">
            <v>8.49</v>
          </cell>
          <cell r="E75">
            <v>8.74407413955681</v>
          </cell>
        </row>
        <row r="83">
          <cell r="D83">
            <v>3</v>
          </cell>
          <cell r="E83">
            <v>2.9113682701497301</v>
          </cell>
        </row>
        <row r="91">
          <cell r="D91">
            <v>2.4</v>
          </cell>
          <cell r="E91">
            <v>2.5</v>
          </cell>
        </row>
        <row r="101">
          <cell r="D101">
            <v>3.5</v>
          </cell>
          <cell r="E101">
            <v>3.0591666666666701</v>
          </cell>
        </row>
        <row r="110">
          <cell r="D110">
            <v>1.51</v>
          </cell>
          <cell r="E110">
            <v>1.5</v>
          </cell>
        </row>
        <row r="119">
          <cell r="D119">
            <v>1.8</v>
          </cell>
          <cell r="E119">
            <v>1.9</v>
          </cell>
        </row>
      </sheetData>
      <sheetData sheetId="3">
        <row r="11">
          <cell r="D11">
            <v>2.89</v>
          </cell>
          <cell r="E11">
            <v>2.8820224719101102</v>
          </cell>
        </row>
        <row r="19">
          <cell r="D19">
            <v>2.4900000000000002</v>
          </cell>
          <cell r="E19">
            <v>2.4454732094960301</v>
          </cell>
        </row>
      </sheetData>
      <sheetData sheetId="4">
        <row r="11">
          <cell r="D11">
            <v>2.6</v>
          </cell>
          <cell r="E11">
            <v>2.6</v>
          </cell>
        </row>
        <row r="19">
          <cell r="D19">
            <v>2.82</v>
          </cell>
          <cell r="E19">
            <v>2.8926174496644301</v>
          </cell>
        </row>
        <row r="28">
          <cell r="D28">
            <v>3.65</v>
          </cell>
          <cell r="E28">
            <v>2.6571428571428601</v>
          </cell>
        </row>
        <row r="35">
          <cell r="D35">
            <v>1.0277000000000001</v>
          </cell>
          <cell r="E35">
            <v>1.0277777777777799</v>
          </cell>
        </row>
        <row r="44">
          <cell r="D44">
            <v>3.8</v>
          </cell>
          <cell r="E44">
            <v>3.8</v>
          </cell>
        </row>
      </sheetData>
      <sheetData sheetId="5">
        <row r="9">
          <cell r="D9">
            <v>1.1000000000000001</v>
          </cell>
          <cell r="E9">
            <v>1.1041666666666701</v>
          </cell>
        </row>
        <row r="19">
          <cell r="D19">
            <v>1.1000000000000001</v>
          </cell>
          <cell r="E19">
            <v>1.09782608695652</v>
          </cell>
        </row>
        <row r="28">
          <cell r="D28">
            <v>1.0229999999999999</v>
          </cell>
          <cell r="E28">
            <v>0.95525581395348802</v>
          </cell>
        </row>
        <row r="36">
          <cell r="D36">
            <v>2.96</v>
          </cell>
          <cell r="E36">
            <v>2.9523809523809499</v>
          </cell>
        </row>
        <row r="45">
          <cell r="D45">
            <v>2.75</v>
          </cell>
          <cell r="E45">
            <v>6.6666666666666696</v>
          </cell>
        </row>
      </sheetData>
      <sheetData sheetId="6">
        <row r="12">
          <cell r="D12">
            <v>4</v>
          </cell>
          <cell r="E12">
            <v>3.8</v>
          </cell>
        </row>
        <row r="23">
          <cell r="D23">
            <v>3</v>
          </cell>
          <cell r="E23">
            <v>3</v>
          </cell>
        </row>
        <row r="36">
          <cell r="D36">
            <v>1</v>
          </cell>
          <cell r="E36">
            <v>1</v>
          </cell>
        </row>
      </sheetData>
      <sheetData sheetId="7">
        <row r="9">
          <cell r="D9">
            <v>1.92</v>
          </cell>
          <cell r="E9">
            <v>1.9838709677419399</v>
          </cell>
        </row>
        <row r="17">
          <cell r="D17">
            <v>2.5</v>
          </cell>
          <cell r="E17">
            <v>2.5056277056277101</v>
          </cell>
        </row>
        <row r="24">
          <cell r="D24">
            <v>1.8</v>
          </cell>
          <cell r="E24">
            <v>1.68421052631579</v>
          </cell>
        </row>
        <row r="31">
          <cell r="D31">
            <v>2</v>
          </cell>
          <cell r="E31">
            <v>2</v>
          </cell>
        </row>
      </sheetData>
      <sheetData sheetId="8">
        <row r="16">
          <cell r="D1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topLeftCell="A4" zoomScaleNormal="75" zoomScaleSheetLayoutView="100" workbookViewId="0">
      <selection activeCell="A51" sqref="A51:K51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64" t="s">
        <v>77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6"/>
    </row>
    <row r="2" spans="1:15" s="1" customFormat="1" ht="15" customHeight="1" x14ac:dyDescent="0.25">
      <c r="A2" s="467" t="s">
        <v>135</v>
      </c>
      <c r="B2" s="468"/>
      <c r="C2" s="468"/>
      <c r="D2" s="24"/>
      <c r="E2" s="24"/>
      <c r="F2" s="6"/>
      <c r="G2" s="6"/>
      <c r="H2" s="6"/>
      <c r="I2" s="6"/>
      <c r="J2" s="6"/>
      <c r="K2" s="23"/>
      <c r="L2" s="6"/>
      <c r="M2" s="6"/>
      <c r="N2" s="6"/>
    </row>
    <row r="3" spans="1:15" s="1" customFormat="1" ht="15" customHeight="1" x14ac:dyDescent="0.25">
      <c r="A3" s="25" t="s">
        <v>188</v>
      </c>
      <c r="B3" s="212"/>
      <c r="C3" s="22"/>
      <c r="D3" s="6"/>
      <c r="E3" s="6"/>
      <c r="F3" s="6"/>
      <c r="G3" s="6"/>
      <c r="H3" s="6"/>
      <c r="I3" s="6"/>
      <c r="J3" s="6"/>
      <c r="K3" s="23"/>
      <c r="L3" s="6"/>
      <c r="M3" s="6"/>
      <c r="N3" s="6"/>
    </row>
    <row r="4" spans="1:15" s="1" customFormat="1" ht="15" customHeight="1" x14ac:dyDescent="0.25">
      <c r="A4" s="25" t="s">
        <v>74</v>
      </c>
      <c r="B4" s="212"/>
      <c r="C4" s="22"/>
      <c r="D4" s="6"/>
      <c r="E4" s="6"/>
      <c r="F4" s="6"/>
      <c r="G4" s="6"/>
      <c r="H4" s="6"/>
      <c r="I4" s="6"/>
      <c r="J4" s="6"/>
      <c r="K4" s="23"/>
      <c r="L4" s="6"/>
      <c r="M4" s="6"/>
      <c r="N4" s="6"/>
    </row>
    <row r="5" spans="1:15" s="1" customFormat="1" ht="15" customHeight="1" x14ac:dyDescent="0.25">
      <c r="A5" s="25" t="s">
        <v>237</v>
      </c>
      <c r="B5" s="212"/>
      <c r="C5" s="22"/>
      <c r="D5" s="6"/>
      <c r="E5" s="6"/>
      <c r="F5" s="6"/>
      <c r="G5" s="6"/>
      <c r="H5" s="6"/>
      <c r="I5" s="6"/>
      <c r="J5" s="6"/>
      <c r="K5" s="23"/>
      <c r="L5" s="6"/>
      <c r="M5" s="6"/>
      <c r="N5" s="6"/>
    </row>
    <row r="6" spans="1:15" ht="13.5" thickBot="1" x14ac:dyDescent="0.25">
      <c r="A6" s="54"/>
      <c r="B6" s="55"/>
      <c r="C6" s="55"/>
      <c r="D6" s="56"/>
      <c r="E6" s="56"/>
      <c r="F6" s="56"/>
      <c r="G6" s="56"/>
      <c r="H6" s="56"/>
      <c r="I6" s="56"/>
      <c r="J6" s="56"/>
      <c r="K6" s="58"/>
      <c r="L6" s="56"/>
      <c r="M6" s="56"/>
      <c r="N6" s="57"/>
    </row>
    <row r="7" spans="1:15" x14ac:dyDescent="0.2">
      <c r="A7" s="469" t="s">
        <v>3</v>
      </c>
      <c r="B7" s="472" t="s">
        <v>0</v>
      </c>
      <c r="C7" s="472" t="s">
        <v>1</v>
      </c>
      <c r="D7" s="213"/>
      <c r="E7" s="213"/>
      <c r="F7" s="475"/>
      <c r="G7" s="475"/>
      <c r="H7" s="475"/>
      <c r="I7" s="475"/>
      <c r="J7" s="475"/>
      <c r="K7" s="476"/>
      <c r="L7" s="59"/>
      <c r="M7" s="3"/>
      <c r="N7" s="3"/>
    </row>
    <row r="8" spans="1:15" x14ac:dyDescent="0.2">
      <c r="A8" s="470"/>
      <c r="B8" s="473"/>
      <c r="C8" s="473"/>
      <c r="D8" s="214"/>
      <c r="E8" s="214">
        <v>2006</v>
      </c>
      <c r="F8" s="2">
        <v>2018</v>
      </c>
      <c r="G8" s="2">
        <v>2019</v>
      </c>
      <c r="H8" s="477">
        <v>2019</v>
      </c>
      <c r="I8" s="478"/>
      <c r="J8" s="478"/>
      <c r="K8" s="479"/>
      <c r="L8" s="216">
        <v>2015</v>
      </c>
      <c r="M8" s="4">
        <v>2016</v>
      </c>
      <c r="N8" s="4"/>
    </row>
    <row r="9" spans="1:15" ht="33.75" customHeight="1" thickBot="1" x14ac:dyDescent="0.25">
      <c r="A9" s="471"/>
      <c r="B9" s="474"/>
      <c r="C9" s="474"/>
      <c r="D9" s="215"/>
      <c r="E9" s="215" t="s">
        <v>71</v>
      </c>
      <c r="F9" s="215" t="s">
        <v>71</v>
      </c>
      <c r="G9" s="215" t="s">
        <v>2</v>
      </c>
      <c r="H9" s="215" t="s">
        <v>72</v>
      </c>
      <c r="I9" s="215" t="s">
        <v>75</v>
      </c>
      <c r="J9" s="215" t="s">
        <v>76</v>
      </c>
      <c r="K9" s="5" t="s">
        <v>78</v>
      </c>
      <c r="L9" s="53" t="s">
        <v>2</v>
      </c>
      <c r="M9" s="5" t="s">
        <v>2</v>
      </c>
      <c r="N9" s="5"/>
    </row>
    <row r="10" spans="1:15" ht="13.5" thickBot="1" x14ac:dyDescent="0.25">
      <c r="A10" s="36" t="s">
        <v>53</v>
      </c>
      <c r="B10" s="37"/>
      <c r="C10" s="37"/>
      <c r="D10" s="37"/>
      <c r="E10" s="37"/>
      <c r="F10" s="37"/>
      <c r="G10" s="37"/>
      <c r="H10" s="37"/>
      <c r="I10" s="37"/>
      <c r="J10" s="37"/>
      <c r="K10" s="66"/>
      <c r="L10" s="31"/>
      <c r="M10" s="32"/>
      <c r="N10" s="32"/>
    </row>
    <row r="11" spans="1:15" s="9" customFormat="1" ht="12" x14ac:dyDescent="0.2">
      <c r="A11" s="27" t="s">
        <v>54</v>
      </c>
      <c r="B11" s="28" t="s">
        <v>5</v>
      </c>
      <c r="C11" s="28" t="s">
        <v>55</v>
      </c>
      <c r="D11" s="28"/>
      <c r="E11" s="29"/>
      <c r="F11" s="48">
        <f>+H11+I11+J11+K11</f>
        <v>0</v>
      </c>
      <c r="G11" s="70">
        <v>0</v>
      </c>
      <c r="H11" s="70">
        <v>0</v>
      </c>
      <c r="I11" s="48"/>
      <c r="J11" s="49"/>
      <c r="K11" s="68"/>
      <c r="L11" s="60"/>
      <c r="M11" s="30"/>
      <c r="N11" s="205"/>
    </row>
    <row r="12" spans="1:15" s="9" customFormat="1" ht="12" x14ac:dyDescent="0.2">
      <c r="A12" s="7" t="s">
        <v>83</v>
      </c>
      <c r="B12" s="8" t="s">
        <v>5</v>
      </c>
      <c r="C12" s="8" t="s">
        <v>55</v>
      </c>
      <c r="D12" s="8"/>
      <c r="E12" s="20"/>
      <c r="F12" s="220">
        <v>193</v>
      </c>
      <c r="G12" s="221">
        <v>200</v>
      </c>
      <c r="H12" s="222">
        <v>47</v>
      </c>
      <c r="I12" s="223"/>
      <c r="J12" s="224"/>
      <c r="K12" s="225"/>
      <c r="L12" s="61"/>
      <c r="M12" s="15"/>
      <c r="N12" s="206"/>
      <c r="O12" s="226"/>
    </row>
    <row r="13" spans="1:15" s="9" customFormat="1" ht="12" x14ac:dyDescent="0.2">
      <c r="A13" s="7" t="s">
        <v>84</v>
      </c>
      <c r="B13" s="8" t="s">
        <v>5</v>
      </c>
      <c r="C13" s="8" t="s">
        <v>55</v>
      </c>
      <c r="D13" s="8"/>
      <c r="E13" s="20"/>
      <c r="F13" s="48">
        <v>530</v>
      </c>
      <c r="G13" s="70">
        <v>450</v>
      </c>
      <c r="H13" s="72">
        <v>94</v>
      </c>
      <c r="I13" s="71"/>
      <c r="J13" s="73"/>
      <c r="K13" s="67"/>
      <c r="L13" s="61"/>
      <c r="M13" s="15"/>
      <c r="N13" s="206"/>
      <c r="O13" s="226"/>
    </row>
    <row r="14" spans="1:15" s="9" customFormat="1" ht="12" x14ac:dyDescent="0.2">
      <c r="A14" s="10" t="s">
        <v>56</v>
      </c>
      <c r="B14" s="8" t="s">
        <v>5</v>
      </c>
      <c r="C14" s="8" t="s">
        <v>55</v>
      </c>
      <c r="D14" s="8"/>
      <c r="E14" s="20"/>
      <c r="F14" s="48">
        <v>60</v>
      </c>
      <c r="G14" s="70">
        <v>60</v>
      </c>
      <c r="H14" s="72">
        <v>8</v>
      </c>
      <c r="I14" s="71"/>
      <c r="J14" s="73"/>
      <c r="K14" s="67"/>
      <c r="L14" s="62"/>
      <c r="M14" s="14"/>
      <c r="N14" s="207"/>
      <c r="O14" s="226"/>
    </row>
    <row r="15" spans="1:15" s="9" customFormat="1" ht="12" x14ac:dyDescent="0.2">
      <c r="A15" s="10" t="s">
        <v>57</v>
      </c>
      <c r="B15" s="8" t="s">
        <v>5</v>
      </c>
      <c r="C15" s="8" t="s">
        <v>55</v>
      </c>
      <c r="D15" s="8"/>
      <c r="E15" s="20"/>
      <c r="F15" s="48">
        <v>100</v>
      </c>
      <c r="G15" s="70">
        <v>100</v>
      </c>
      <c r="H15" s="72">
        <v>20</v>
      </c>
      <c r="I15" s="71"/>
      <c r="J15" s="73"/>
      <c r="K15" s="67"/>
      <c r="L15" s="62"/>
      <c r="M15" s="14"/>
      <c r="N15" s="207"/>
      <c r="O15" s="226"/>
    </row>
    <row r="16" spans="1:15" s="9" customFormat="1" ht="12" x14ac:dyDescent="0.2">
      <c r="A16" s="7" t="s">
        <v>58</v>
      </c>
      <c r="B16" s="8" t="s">
        <v>5</v>
      </c>
      <c r="C16" s="8" t="s">
        <v>55</v>
      </c>
      <c r="D16" s="8">
        <v>642</v>
      </c>
      <c r="E16" s="20"/>
      <c r="F16" s="48">
        <v>871</v>
      </c>
      <c r="G16" s="70">
        <v>900</v>
      </c>
      <c r="H16" s="72">
        <v>194</v>
      </c>
      <c r="I16" s="71"/>
      <c r="J16" s="73"/>
      <c r="K16" s="67"/>
      <c r="L16" s="61"/>
      <c r="M16" s="14"/>
      <c r="N16" s="207"/>
      <c r="O16" s="226"/>
    </row>
    <row r="17" spans="1:15" s="9" customFormat="1" ht="12" x14ac:dyDescent="0.2">
      <c r="A17" s="7" t="s">
        <v>59</v>
      </c>
      <c r="B17" s="8" t="s">
        <v>5</v>
      </c>
      <c r="C17" s="8" t="s">
        <v>55</v>
      </c>
      <c r="D17" s="8">
        <v>44</v>
      </c>
      <c r="E17" s="20"/>
      <c r="F17" s="48">
        <v>119</v>
      </c>
      <c r="G17" s="70">
        <v>130</v>
      </c>
      <c r="H17" s="72">
        <v>28</v>
      </c>
      <c r="I17" s="71"/>
      <c r="J17" s="73"/>
      <c r="K17" s="67"/>
      <c r="L17" s="62"/>
      <c r="M17" s="14"/>
      <c r="N17" s="207"/>
      <c r="O17" s="226"/>
    </row>
    <row r="18" spans="1:15" s="11" customFormat="1" ht="12" x14ac:dyDescent="0.2">
      <c r="A18" s="16" t="s">
        <v>60</v>
      </c>
      <c r="B18" s="17" t="s">
        <v>5</v>
      </c>
      <c r="C18" s="17" t="s">
        <v>55</v>
      </c>
      <c r="D18" s="17"/>
      <c r="E18" s="21"/>
      <c r="F18" s="48">
        <v>44</v>
      </c>
      <c r="G18" s="70">
        <v>45</v>
      </c>
      <c r="H18" s="74">
        <v>10</v>
      </c>
      <c r="I18" s="51"/>
      <c r="J18" s="52"/>
      <c r="K18" s="69"/>
      <c r="L18" s="63"/>
      <c r="M18" s="18"/>
      <c r="N18" s="208"/>
      <c r="O18" s="226"/>
    </row>
    <row r="19" spans="1:15" s="11" customFormat="1" ht="12" x14ac:dyDescent="0.2">
      <c r="A19" s="26" t="s">
        <v>80</v>
      </c>
      <c r="B19" s="8" t="s">
        <v>5</v>
      </c>
      <c r="C19" s="8" t="s">
        <v>55</v>
      </c>
      <c r="D19" s="8"/>
      <c r="E19" s="20"/>
      <c r="F19" s="48">
        <v>16</v>
      </c>
      <c r="G19" s="70">
        <v>30</v>
      </c>
      <c r="H19" s="72">
        <v>10</v>
      </c>
      <c r="I19" s="71"/>
      <c r="J19" s="73"/>
      <c r="K19" s="67"/>
      <c r="L19" s="62"/>
      <c r="M19" s="14"/>
      <c r="N19" s="207"/>
      <c r="O19" s="226"/>
    </row>
    <row r="20" spans="1:15" s="11" customFormat="1" ht="12" x14ac:dyDescent="0.2">
      <c r="A20" s="26" t="s">
        <v>81</v>
      </c>
      <c r="B20" s="8" t="s">
        <v>5</v>
      </c>
      <c r="C20" s="8" t="s">
        <v>55</v>
      </c>
      <c r="D20" s="8"/>
      <c r="E20" s="20"/>
      <c r="F20" s="48">
        <v>363</v>
      </c>
      <c r="G20" s="70">
        <v>450</v>
      </c>
      <c r="H20" s="72">
        <v>145</v>
      </c>
      <c r="I20" s="71"/>
      <c r="J20" s="73"/>
      <c r="K20" s="67"/>
      <c r="L20" s="62"/>
      <c r="M20" s="14"/>
      <c r="N20" s="207"/>
      <c r="O20" s="226"/>
    </row>
    <row r="21" spans="1:15" s="11" customFormat="1" thickBot="1" x14ac:dyDescent="0.25">
      <c r="A21" s="16" t="s">
        <v>82</v>
      </c>
      <c r="B21" s="17" t="s">
        <v>5</v>
      </c>
      <c r="C21" s="17" t="s">
        <v>55</v>
      </c>
      <c r="D21" s="17"/>
      <c r="E21" s="21"/>
      <c r="F21" s="48">
        <v>107</v>
      </c>
      <c r="G21" s="70">
        <v>110</v>
      </c>
      <c r="H21" s="74">
        <v>16</v>
      </c>
      <c r="I21" s="51"/>
      <c r="J21" s="52"/>
      <c r="K21" s="69"/>
      <c r="L21" s="63"/>
      <c r="M21" s="18"/>
      <c r="N21" s="208"/>
      <c r="O21" s="226"/>
    </row>
    <row r="22" spans="1:15" ht="13.5" customHeight="1" thickBot="1" x14ac:dyDescent="0.25">
      <c r="A22" s="38" t="s">
        <v>61</v>
      </c>
      <c r="B22" s="39"/>
      <c r="C22" s="39"/>
      <c r="D22" s="39"/>
      <c r="E22" s="40"/>
      <c r="F22" s="75"/>
      <c r="G22" s="76"/>
      <c r="H22" s="77"/>
      <c r="I22" s="78"/>
      <c r="J22" s="78"/>
      <c r="K22" s="79"/>
      <c r="L22" s="31"/>
      <c r="M22" s="33"/>
      <c r="N22" s="209"/>
    </row>
    <row r="23" spans="1:15" hidden="1" x14ac:dyDescent="0.2">
      <c r="A23" s="41"/>
      <c r="B23" s="28"/>
      <c r="C23" s="28"/>
      <c r="D23" s="28">
        <v>7.3</v>
      </c>
      <c r="E23" s="29"/>
      <c r="F23" s="48"/>
      <c r="G23" s="80"/>
      <c r="H23" s="81"/>
      <c r="I23" s="82"/>
      <c r="J23" s="82"/>
      <c r="K23" s="83"/>
      <c r="L23" s="64"/>
      <c r="M23" s="12"/>
      <c r="N23" s="210"/>
    </row>
    <row r="24" spans="1:15" hidden="1" x14ac:dyDescent="0.2">
      <c r="A24" s="26"/>
      <c r="B24" s="8"/>
      <c r="C24" s="8"/>
      <c r="D24" s="8">
        <f>+D23*6</f>
        <v>43.8</v>
      </c>
      <c r="E24" s="20"/>
      <c r="F24" s="71"/>
      <c r="G24" s="84"/>
      <c r="H24" s="85"/>
      <c r="I24" s="86"/>
      <c r="J24" s="86"/>
      <c r="K24" s="87"/>
      <c r="L24" s="65"/>
      <c r="M24" s="13"/>
      <c r="N24" s="211"/>
    </row>
    <row r="25" spans="1:15" hidden="1" x14ac:dyDescent="0.2">
      <c r="A25" s="26"/>
      <c r="B25" s="8"/>
      <c r="C25" s="8"/>
      <c r="D25" s="8">
        <v>642</v>
      </c>
      <c r="E25" s="20"/>
      <c r="F25" s="71"/>
      <c r="G25" s="84"/>
      <c r="H25" s="85"/>
      <c r="I25" s="86"/>
      <c r="J25" s="86"/>
      <c r="K25" s="87"/>
      <c r="L25" s="65"/>
      <c r="M25" s="13"/>
      <c r="N25" s="211"/>
    </row>
    <row r="26" spans="1:15" hidden="1" x14ac:dyDescent="0.2">
      <c r="A26" s="26"/>
      <c r="B26" s="8"/>
      <c r="C26" s="8"/>
      <c r="D26" s="8">
        <f>+D25/6</f>
        <v>107</v>
      </c>
      <c r="E26" s="20"/>
      <c r="F26" s="71"/>
      <c r="G26" s="84"/>
      <c r="H26" s="85"/>
      <c r="I26" s="86"/>
      <c r="J26" s="86"/>
      <c r="K26" s="87"/>
      <c r="L26" s="65"/>
      <c r="M26" s="13"/>
      <c r="N26" s="211"/>
    </row>
    <row r="27" spans="1:15" hidden="1" x14ac:dyDescent="0.2">
      <c r="A27" s="26"/>
      <c r="B27" s="8"/>
      <c r="C27" s="8"/>
      <c r="D27" s="8" t="e">
        <f>+#REF!/D26</f>
        <v>#REF!</v>
      </c>
      <c r="E27" s="20"/>
      <c r="F27" s="71"/>
      <c r="G27" s="84"/>
      <c r="H27" s="85"/>
      <c r="I27" s="86"/>
      <c r="J27" s="86"/>
      <c r="K27" s="87"/>
      <c r="L27" s="65"/>
      <c r="M27" s="13"/>
      <c r="N27" s="211"/>
    </row>
    <row r="28" spans="1:15" hidden="1" x14ac:dyDescent="0.2">
      <c r="A28" s="26"/>
      <c r="B28" s="8"/>
      <c r="C28" s="8"/>
      <c r="D28" s="8">
        <f>+D26*6</f>
        <v>642</v>
      </c>
      <c r="E28" s="20"/>
      <c r="F28" s="71"/>
      <c r="G28" s="84"/>
      <c r="H28" s="85"/>
      <c r="I28" s="86"/>
      <c r="J28" s="86"/>
      <c r="K28" s="87"/>
      <c r="L28" s="65"/>
      <c r="M28" s="13"/>
      <c r="N28" s="211"/>
    </row>
    <row r="29" spans="1:15" hidden="1" x14ac:dyDescent="0.2">
      <c r="A29" s="26"/>
      <c r="B29" s="8"/>
      <c r="C29" s="8"/>
      <c r="D29" s="8"/>
      <c r="E29" s="20"/>
      <c r="F29" s="71"/>
      <c r="G29" s="84"/>
      <c r="H29" s="85"/>
      <c r="I29" s="86"/>
      <c r="J29" s="86"/>
      <c r="K29" s="87"/>
      <c r="L29" s="65"/>
      <c r="M29" s="13"/>
      <c r="N29" s="211"/>
    </row>
    <row r="30" spans="1:15" hidden="1" x14ac:dyDescent="0.2">
      <c r="A30" s="26"/>
      <c r="B30" s="8"/>
      <c r="C30" s="8"/>
      <c r="D30" s="8"/>
      <c r="E30" s="20"/>
      <c r="F30" s="71"/>
      <c r="G30" s="84"/>
      <c r="H30" s="85"/>
      <c r="I30" s="86"/>
      <c r="J30" s="86"/>
      <c r="K30" s="87"/>
      <c r="L30" s="65"/>
      <c r="M30" s="13"/>
      <c r="N30" s="211"/>
    </row>
    <row r="31" spans="1:15" hidden="1" x14ac:dyDescent="0.2">
      <c r="A31" s="26"/>
      <c r="B31" s="8" t="e">
        <f>+#REF!/#REF!</f>
        <v>#REF!</v>
      </c>
      <c r="C31" s="8"/>
      <c r="D31" s="8"/>
      <c r="E31" s="20"/>
      <c r="F31" s="71"/>
      <c r="G31" s="84"/>
      <c r="H31" s="85"/>
      <c r="I31" s="86"/>
      <c r="J31" s="86"/>
      <c r="K31" s="87"/>
      <c r="L31" s="65"/>
      <c r="M31" s="13"/>
      <c r="N31" s="211"/>
    </row>
    <row r="32" spans="1:15" hidden="1" x14ac:dyDescent="0.2">
      <c r="A32" s="26"/>
      <c r="B32" s="8" t="e">
        <f>+#REF!/#REF!</f>
        <v>#REF!</v>
      </c>
      <c r="C32" s="8"/>
      <c r="D32" s="8"/>
      <c r="E32" s="20"/>
      <c r="F32" s="71"/>
      <c r="G32" s="84"/>
      <c r="H32" s="85"/>
      <c r="I32" s="86"/>
      <c r="J32" s="86"/>
      <c r="K32" s="87"/>
      <c r="L32" s="65"/>
      <c r="M32" s="13"/>
      <c r="N32" s="211"/>
    </row>
    <row r="33" spans="1:17" hidden="1" x14ac:dyDescent="0.2">
      <c r="A33" s="26"/>
      <c r="B33" s="8"/>
      <c r="C33" s="8"/>
      <c r="D33" s="8"/>
      <c r="E33" s="20"/>
      <c r="F33" s="71"/>
      <c r="G33" s="84"/>
      <c r="H33" s="85"/>
      <c r="I33" s="86"/>
      <c r="J33" s="86"/>
      <c r="K33" s="87"/>
      <c r="L33" s="65"/>
      <c r="M33" s="13"/>
      <c r="N33" s="211"/>
    </row>
    <row r="34" spans="1:17" s="230" customFormat="1" x14ac:dyDescent="0.2">
      <c r="A34" s="26" t="s">
        <v>62</v>
      </c>
      <c r="B34" s="19" t="s">
        <v>5</v>
      </c>
      <c r="C34" s="19" t="s">
        <v>63</v>
      </c>
      <c r="D34" s="8"/>
      <c r="E34" s="20"/>
      <c r="F34" s="48">
        <v>10769</v>
      </c>
      <c r="G34" s="70">
        <v>2900</v>
      </c>
      <c r="H34" s="71">
        <v>725</v>
      </c>
      <c r="I34" s="71"/>
      <c r="J34" s="73"/>
      <c r="K34" s="67"/>
      <c r="L34" s="227"/>
      <c r="M34" s="228"/>
      <c r="N34" s="229"/>
      <c r="O34" s="226"/>
    </row>
    <row r="35" spans="1:17" s="230" customFormat="1" x14ac:dyDescent="0.2">
      <c r="A35" s="26" t="s">
        <v>64</v>
      </c>
      <c r="B35" s="19" t="s">
        <v>5</v>
      </c>
      <c r="C35" s="19" t="s">
        <v>63</v>
      </c>
      <c r="D35" s="8"/>
      <c r="E35" s="20"/>
      <c r="F35" s="48">
        <v>1656</v>
      </c>
      <c r="G35" s="70">
        <v>1700</v>
      </c>
      <c r="H35" s="71">
        <v>425</v>
      </c>
      <c r="I35" s="71"/>
      <c r="J35" s="73"/>
      <c r="K35" s="67"/>
      <c r="L35" s="231"/>
      <c r="M35" s="228"/>
      <c r="N35" s="229"/>
      <c r="O35" s="226"/>
      <c r="Q35" s="232"/>
    </row>
    <row r="36" spans="1:17" s="230" customFormat="1" x14ac:dyDescent="0.2">
      <c r="A36" s="26" t="s">
        <v>65</v>
      </c>
      <c r="B36" s="19" t="s">
        <v>5</v>
      </c>
      <c r="C36" s="19" t="s">
        <v>63</v>
      </c>
      <c r="D36" s="8"/>
      <c r="E36" s="20"/>
      <c r="F36" s="48">
        <v>1202</v>
      </c>
      <c r="G36" s="70">
        <v>960</v>
      </c>
      <c r="H36" s="71">
        <v>240</v>
      </c>
      <c r="I36" s="71"/>
      <c r="J36" s="73"/>
      <c r="K36" s="67"/>
      <c r="L36" s="227"/>
      <c r="M36" s="228"/>
      <c r="N36" s="229"/>
      <c r="O36" s="226"/>
    </row>
    <row r="37" spans="1:17" s="230" customFormat="1" x14ac:dyDescent="0.2">
      <c r="A37" s="26" t="s">
        <v>66</v>
      </c>
      <c r="B37" s="19" t="s">
        <v>5</v>
      </c>
      <c r="C37" s="19" t="s">
        <v>63</v>
      </c>
      <c r="D37" s="8"/>
      <c r="E37" s="20"/>
      <c r="F37" s="48">
        <v>3069</v>
      </c>
      <c r="G37" s="70">
        <v>1660</v>
      </c>
      <c r="H37" s="71">
        <v>415</v>
      </c>
      <c r="I37" s="71"/>
      <c r="J37" s="73"/>
      <c r="K37" s="67"/>
      <c r="L37" s="227"/>
      <c r="M37" s="228"/>
      <c r="N37" s="229"/>
      <c r="O37" s="226"/>
    </row>
    <row r="38" spans="1:17" s="230" customFormat="1" ht="13.5" thickBot="1" x14ac:dyDescent="0.25">
      <c r="A38" s="42" t="s">
        <v>67</v>
      </c>
      <c r="B38" s="43" t="s">
        <v>5</v>
      </c>
      <c r="C38" s="43" t="s">
        <v>63</v>
      </c>
      <c r="D38" s="44"/>
      <c r="E38" s="45"/>
      <c r="F38" s="48">
        <v>326</v>
      </c>
      <c r="G38" s="70">
        <v>120</v>
      </c>
      <c r="H38" s="71">
        <v>30</v>
      </c>
      <c r="I38" s="88"/>
      <c r="J38" s="89"/>
      <c r="K38" s="90"/>
      <c r="L38" s="233"/>
      <c r="M38" s="234"/>
      <c r="N38" s="235"/>
      <c r="O38" s="226"/>
    </row>
    <row r="39" spans="1:17" ht="13.5" thickBot="1" x14ac:dyDescent="0.25">
      <c r="A39" s="46" t="s">
        <v>68</v>
      </c>
      <c r="B39" s="37"/>
      <c r="C39" s="37"/>
      <c r="D39" s="37"/>
      <c r="E39" s="37"/>
      <c r="F39" s="91"/>
      <c r="G39" s="77"/>
      <c r="H39" s="92"/>
      <c r="I39" s="92"/>
      <c r="J39" s="92"/>
      <c r="K39" s="93"/>
      <c r="L39" s="34"/>
      <c r="M39" s="35"/>
      <c r="N39" s="34"/>
    </row>
    <row r="40" spans="1:17" s="230" customFormat="1" x14ac:dyDescent="0.2">
      <c r="A40" s="47" t="s">
        <v>221</v>
      </c>
      <c r="B40" s="28" t="s">
        <v>5</v>
      </c>
      <c r="C40" s="28" t="s">
        <v>69</v>
      </c>
      <c r="D40" s="28"/>
      <c r="E40" s="29"/>
      <c r="F40" s="48">
        <v>8531</v>
      </c>
      <c r="G40" s="70">
        <v>8616</v>
      </c>
      <c r="H40" s="70">
        <v>2010</v>
      </c>
      <c r="I40" s="48"/>
      <c r="J40" s="49"/>
      <c r="K40" s="68"/>
      <c r="L40" s="236"/>
      <c r="M40" s="237"/>
      <c r="N40" s="238"/>
      <c r="O40" s="226"/>
    </row>
    <row r="41" spans="1:17" s="230" customFormat="1" x14ac:dyDescent="0.2">
      <c r="A41" s="19" t="s">
        <v>222</v>
      </c>
      <c r="B41" s="8" t="s">
        <v>5</v>
      </c>
      <c r="C41" s="8" t="s">
        <v>69</v>
      </c>
      <c r="D41" s="8"/>
      <c r="E41" s="8"/>
      <c r="F41" s="71">
        <v>10191</v>
      </c>
      <c r="G41" s="71">
        <v>10293</v>
      </c>
      <c r="H41" s="71">
        <v>2196</v>
      </c>
      <c r="I41" s="71"/>
      <c r="J41" s="73"/>
      <c r="K41" s="73"/>
      <c r="L41" s="239"/>
      <c r="M41" s="240"/>
      <c r="N41" s="241"/>
      <c r="O41" s="226"/>
    </row>
    <row r="42" spans="1:17" s="230" customFormat="1" x14ac:dyDescent="0.2">
      <c r="A42" s="19" t="s">
        <v>238</v>
      </c>
      <c r="B42" s="8" t="s">
        <v>5</v>
      </c>
      <c r="C42" s="8" t="s">
        <v>69</v>
      </c>
      <c r="D42" s="8"/>
      <c r="E42" s="8"/>
      <c r="F42" s="71">
        <v>300</v>
      </c>
      <c r="G42" s="71">
        <v>309</v>
      </c>
      <c r="H42" s="71">
        <v>112</v>
      </c>
      <c r="I42" s="71"/>
      <c r="J42" s="73"/>
      <c r="K42" s="73"/>
      <c r="L42" s="242"/>
      <c r="M42" s="243"/>
      <c r="N42" s="244"/>
      <c r="O42" s="226"/>
    </row>
    <row r="43" spans="1:17" s="230" customFormat="1" x14ac:dyDescent="0.2">
      <c r="A43" s="19" t="s">
        <v>239</v>
      </c>
      <c r="B43" s="8" t="s">
        <v>5</v>
      </c>
      <c r="C43" s="8" t="s">
        <v>69</v>
      </c>
      <c r="D43" s="8"/>
      <c r="E43" s="8"/>
      <c r="F43" s="71">
        <v>379</v>
      </c>
      <c r="G43" s="71">
        <v>390</v>
      </c>
      <c r="H43" s="71">
        <v>73</v>
      </c>
      <c r="I43" s="71"/>
      <c r="J43" s="73"/>
      <c r="K43" s="73"/>
      <c r="L43" s="242"/>
      <c r="M43" s="243"/>
      <c r="N43" s="244"/>
      <c r="O43" s="226"/>
    </row>
    <row r="44" spans="1:17" s="230" customFormat="1" x14ac:dyDescent="0.2">
      <c r="A44" s="19" t="s">
        <v>240</v>
      </c>
      <c r="B44" s="8" t="s">
        <v>5</v>
      </c>
      <c r="C44" s="8" t="s">
        <v>69</v>
      </c>
      <c r="D44" s="8"/>
      <c r="E44" s="8"/>
      <c r="F44" s="71">
        <v>597</v>
      </c>
      <c r="G44" s="71">
        <v>615</v>
      </c>
      <c r="H44" s="71">
        <v>144</v>
      </c>
      <c r="I44" s="71"/>
      <c r="J44" s="73"/>
      <c r="K44" s="73"/>
      <c r="L44" s="242"/>
      <c r="M44" s="243"/>
      <c r="N44" s="244"/>
      <c r="O44" s="226"/>
    </row>
    <row r="45" spans="1:17" s="230" customFormat="1" x14ac:dyDescent="0.2">
      <c r="A45" s="19" t="s">
        <v>241</v>
      </c>
      <c r="B45" s="8" t="s">
        <v>5</v>
      </c>
      <c r="C45" s="8" t="s">
        <v>69</v>
      </c>
      <c r="D45" s="8"/>
      <c r="E45" s="8"/>
      <c r="F45" s="71">
        <v>296</v>
      </c>
      <c r="G45" s="71">
        <v>305</v>
      </c>
      <c r="H45" s="71">
        <v>52</v>
      </c>
      <c r="I45" s="71"/>
      <c r="J45" s="73"/>
      <c r="K45" s="73"/>
      <c r="L45" s="242"/>
      <c r="M45" s="243"/>
      <c r="N45" s="244"/>
      <c r="O45" s="226"/>
    </row>
    <row r="46" spans="1:17" s="230" customFormat="1" x14ac:dyDescent="0.2">
      <c r="A46" s="19" t="s">
        <v>242</v>
      </c>
      <c r="B46" s="8" t="s">
        <v>5</v>
      </c>
      <c r="C46" s="8" t="s">
        <v>69</v>
      </c>
      <c r="D46" s="8"/>
      <c r="E46" s="8"/>
      <c r="F46" s="71">
        <v>4</v>
      </c>
      <c r="G46" s="71">
        <v>4</v>
      </c>
      <c r="H46" s="71">
        <v>1</v>
      </c>
      <c r="I46" s="71"/>
      <c r="J46" s="73"/>
      <c r="K46" s="73"/>
      <c r="L46" s="242"/>
      <c r="M46" s="243"/>
      <c r="N46" s="244"/>
      <c r="O46" s="226"/>
    </row>
    <row r="47" spans="1:17" s="230" customFormat="1" x14ac:dyDescent="0.2">
      <c r="A47" s="19" t="s">
        <v>243</v>
      </c>
      <c r="B47" s="8" t="s">
        <v>5</v>
      </c>
      <c r="C47" s="8" t="s">
        <v>69</v>
      </c>
      <c r="D47" s="8"/>
      <c r="E47" s="8"/>
      <c r="F47" s="71">
        <v>988</v>
      </c>
      <c r="G47" s="71">
        <v>1018</v>
      </c>
      <c r="H47" s="71">
        <v>201</v>
      </c>
      <c r="I47" s="71"/>
      <c r="J47" s="73"/>
      <c r="K47" s="73"/>
      <c r="L47" s="242"/>
      <c r="M47" s="243"/>
      <c r="N47" s="244"/>
      <c r="O47" s="226"/>
    </row>
    <row r="48" spans="1:17" s="230" customFormat="1" x14ac:dyDescent="0.2">
      <c r="A48" s="19" t="s">
        <v>244</v>
      </c>
      <c r="B48" s="8" t="s">
        <v>5</v>
      </c>
      <c r="C48" s="8" t="s">
        <v>69</v>
      </c>
      <c r="D48" s="8"/>
      <c r="E48" s="8"/>
      <c r="F48" s="71">
        <v>270</v>
      </c>
      <c r="G48" s="71">
        <v>278</v>
      </c>
      <c r="H48" s="71">
        <v>378</v>
      </c>
      <c r="I48" s="71"/>
      <c r="J48" s="73"/>
      <c r="K48" s="73"/>
      <c r="L48" s="242"/>
      <c r="M48" s="243"/>
      <c r="N48" s="244"/>
      <c r="O48" s="226"/>
    </row>
    <row r="49" spans="1:15" s="230" customFormat="1" x14ac:dyDescent="0.2">
      <c r="A49" s="19" t="s">
        <v>245</v>
      </c>
      <c r="B49" s="8" t="s">
        <v>5</v>
      </c>
      <c r="C49" s="8" t="s">
        <v>69</v>
      </c>
      <c r="D49" s="8"/>
      <c r="E49" s="8"/>
      <c r="F49" s="71">
        <v>78</v>
      </c>
      <c r="G49" s="71">
        <v>80</v>
      </c>
      <c r="H49" s="71">
        <v>6</v>
      </c>
      <c r="I49" s="71"/>
      <c r="J49" s="73"/>
      <c r="K49" s="73"/>
      <c r="L49" s="242"/>
      <c r="M49" s="243"/>
      <c r="N49" s="244"/>
      <c r="O49" s="226"/>
    </row>
    <row r="50" spans="1:15" s="230" customFormat="1" x14ac:dyDescent="0.2">
      <c r="A50" s="19" t="s">
        <v>246</v>
      </c>
      <c r="B50" s="8" t="s">
        <v>5</v>
      </c>
      <c r="C50" s="8" t="s">
        <v>69</v>
      </c>
      <c r="D50" s="8"/>
      <c r="E50" s="8"/>
      <c r="F50" s="71">
        <v>50</v>
      </c>
      <c r="G50" s="71">
        <v>52</v>
      </c>
      <c r="H50" s="71">
        <v>10</v>
      </c>
      <c r="I50" s="71"/>
      <c r="J50" s="73"/>
      <c r="K50" s="73"/>
      <c r="L50" s="242"/>
      <c r="M50" s="243"/>
      <c r="N50" s="244"/>
      <c r="O50" s="226"/>
    </row>
    <row r="51" spans="1:15" ht="27" customHeight="1" thickBot="1" x14ac:dyDescent="0.25">
      <c r="A51" s="461" t="s">
        <v>189</v>
      </c>
      <c r="B51" s="462"/>
      <c r="C51" s="462"/>
      <c r="D51" s="462"/>
      <c r="E51" s="462"/>
      <c r="F51" s="462"/>
      <c r="G51" s="462"/>
      <c r="H51" s="462"/>
      <c r="I51" s="462"/>
      <c r="J51" s="462"/>
      <c r="K51" s="463"/>
    </row>
  </sheetData>
  <mergeCells count="8">
    <mergeCell ref="A51:K51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3.937007874015748E-2" right="0.19685039370078741" top="0.43307086614173229" bottom="0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opLeftCell="A7" zoomScale="75" zoomScaleNormal="75" zoomScaleSheetLayoutView="85" workbookViewId="0"/>
  </sheetViews>
  <sheetFormatPr baseColWidth="10" defaultRowHeight="12.75" x14ac:dyDescent="0.2"/>
  <cols>
    <col min="1" max="1" width="76.7109375" style="181" bestFit="1" customWidth="1"/>
    <col min="2" max="2" width="17" style="181" customWidth="1"/>
    <col min="3" max="3" width="13.5703125" style="181" customWidth="1"/>
    <col min="4" max="4" width="14.7109375" style="181" hidden="1" customWidth="1"/>
    <col min="5" max="5" width="13.5703125" style="181" customWidth="1"/>
    <col min="6" max="6" width="13.140625" style="181" customWidth="1"/>
    <col min="7" max="7" width="14" style="181" customWidth="1"/>
    <col min="8" max="8" width="14.28515625" style="181" customWidth="1"/>
    <col min="9" max="11" width="0" style="181" hidden="1" customWidth="1"/>
    <col min="12" max="16384" width="11.42578125" style="181"/>
  </cols>
  <sheetData>
    <row r="1" spans="1:11" s="176" customFormat="1" ht="24.75" x14ac:dyDescent="0.25">
      <c r="A1" s="175" t="s">
        <v>77</v>
      </c>
      <c r="B1" s="175"/>
      <c r="C1" s="175"/>
      <c r="D1" s="175"/>
      <c r="E1" s="175"/>
      <c r="F1" s="175"/>
      <c r="G1" s="175"/>
    </row>
    <row r="2" spans="1:11" s="176" customFormat="1" ht="15" customHeight="1" x14ac:dyDescent="0.25">
      <c r="A2" s="217"/>
      <c r="B2" s="217"/>
      <c r="C2" s="177"/>
    </row>
    <row r="3" spans="1:11" s="176" customFormat="1" ht="15" customHeight="1" x14ac:dyDescent="0.25">
      <c r="A3" s="480" t="s">
        <v>225</v>
      </c>
      <c r="B3" s="480"/>
      <c r="C3" s="480"/>
    </row>
    <row r="4" spans="1:11" s="176" customFormat="1" ht="15" customHeight="1" x14ac:dyDescent="0.25">
      <c r="A4" s="178" t="s">
        <v>226</v>
      </c>
      <c r="B4" s="217"/>
      <c r="C4" s="177"/>
    </row>
    <row r="5" spans="1:11" s="176" customFormat="1" ht="15" customHeight="1" x14ac:dyDescent="0.25">
      <c r="A5" s="178" t="s">
        <v>227</v>
      </c>
      <c r="B5" s="217"/>
      <c r="C5" s="177"/>
    </row>
    <row r="6" spans="1:11" s="176" customFormat="1" ht="15" customHeight="1" x14ac:dyDescent="0.25">
      <c r="A6" s="178"/>
      <c r="B6" s="217"/>
      <c r="C6" s="177"/>
    </row>
    <row r="7" spans="1:11" s="176" customFormat="1" ht="15" customHeight="1" x14ac:dyDescent="0.25">
      <c r="A7" s="178" t="s">
        <v>4</v>
      </c>
      <c r="B7" s="217"/>
      <c r="C7" s="177"/>
    </row>
    <row r="8" spans="1:11" ht="15" customHeight="1" thickBot="1" x14ac:dyDescent="0.25">
      <c r="A8" s="178"/>
      <c r="B8" s="179"/>
      <c r="C8" s="180"/>
    </row>
    <row r="9" spans="1:11" ht="13.5" thickBot="1" x14ac:dyDescent="0.25">
      <c r="A9" s="481" t="s">
        <v>3</v>
      </c>
      <c r="B9" s="484" t="s">
        <v>0</v>
      </c>
      <c r="C9" s="487" t="s">
        <v>1</v>
      </c>
      <c r="D9" s="490"/>
      <c r="E9" s="491"/>
      <c r="F9" s="491"/>
      <c r="G9" s="491"/>
      <c r="H9" s="492"/>
    </row>
    <row r="10" spans="1:11" ht="16.5" thickBot="1" x14ac:dyDescent="0.25">
      <c r="A10" s="482"/>
      <c r="B10" s="485"/>
      <c r="C10" s="488"/>
      <c r="D10" s="493" t="s">
        <v>247</v>
      </c>
      <c r="E10" s="494"/>
      <c r="F10" s="494"/>
      <c r="G10" s="494"/>
      <c r="H10" s="495"/>
    </row>
    <row r="11" spans="1:11" ht="26.25" thickBot="1" x14ac:dyDescent="0.25">
      <c r="A11" s="483"/>
      <c r="B11" s="486"/>
      <c r="C11" s="489"/>
      <c r="D11" s="182" t="s">
        <v>2</v>
      </c>
      <c r="E11" s="182" t="s">
        <v>72</v>
      </c>
      <c r="F11" s="182" t="s">
        <v>75</v>
      </c>
      <c r="G11" s="182" t="s">
        <v>76</v>
      </c>
      <c r="H11" s="183" t="s">
        <v>228</v>
      </c>
      <c r="I11" s="184" t="s">
        <v>229</v>
      </c>
      <c r="J11" s="184" t="s">
        <v>230</v>
      </c>
      <c r="K11" s="184" t="s">
        <v>231</v>
      </c>
    </row>
    <row r="12" spans="1:11" s="191" customFormat="1" ht="24.95" customHeight="1" x14ac:dyDescent="0.2">
      <c r="A12" s="185" t="s">
        <v>232</v>
      </c>
      <c r="B12" s="186" t="s">
        <v>5</v>
      </c>
      <c r="C12" s="186" t="s">
        <v>233</v>
      </c>
      <c r="D12" s="187">
        <v>1770</v>
      </c>
      <c r="E12" s="187">
        <v>163</v>
      </c>
      <c r="F12" s="187">
        <v>0</v>
      </c>
      <c r="G12" s="188">
        <v>0</v>
      </c>
      <c r="H12" s="189">
        <v>0</v>
      </c>
      <c r="I12" s="190">
        <v>1625.8000000000002</v>
      </c>
      <c r="J12" s="190">
        <v>1761</v>
      </c>
      <c r="K12" s="190">
        <f>E12*4</f>
        <v>652</v>
      </c>
    </row>
    <row r="13" spans="1:11" s="191" customFormat="1" ht="24.95" customHeight="1" x14ac:dyDescent="0.2">
      <c r="A13" s="192" t="s">
        <v>234</v>
      </c>
      <c r="B13" s="193" t="s">
        <v>5</v>
      </c>
      <c r="C13" s="193" t="s">
        <v>233</v>
      </c>
      <c r="D13" s="187">
        <v>1300</v>
      </c>
      <c r="E13" s="194">
        <v>171</v>
      </c>
      <c r="F13" s="194">
        <v>0</v>
      </c>
      <c r="G13" s="195">
        <v>0</v>
      </c>
      <c r="H13" s="196">
        <v>0</v>
      </c>
      <c r="I13" s="190">
        <v>748.00000000000011</v>
      </c>
      <c r="J13" s="190">
        <v>1293</v>
      </c>
      <c r="K13" s="190">
        <f t="shared" ref="K13:K15" si="0">E13*4</f>
        <v>684</v>
      </c>
    </row>
    <row r="14" spans="1:11" s="191" customFormat="1" ht="24.95" customHeight="1" x14ac:dyDescent="0.2">
      <c r="A14" s="192" t="s">
        <v>235</v>
      </c>
      <c r="B14" s="193" t="s">
        <v>5</v>
      </c>
      <c r="C14" s="193" t="s">
        <v>233</v>
      </c>
      <c r="D14" s="187">
        <v>160</v>
      </c>
      <c r="E14" s="194">
        <v>17</v>
      </c>
      <c r="F14" s="194">
        <v>0</v>
      </c>
      <c r="G14" s="195">
        <v>0</v>
      </c>
      <c r="H14" s="196">
        <v>0</v>
      </c>
      <c r="I14" s="190">
        <v>160.60000000000002</v>
      </c>
      <c r="J14" s="190">
        <v>180</v>
      </c>
      <c r="K14" s="190">
        <f t="shared" si="0"/>
        <v>68</v>
      </c>
    </row>
    <row r="15" spans="1:11" ht="24.95" customHeight="1" x14ac:dyDescent="0.2">
      <c r="A15" s="197" t="s">
        <v>236</v>
      </c>
      <c r="B15" s="193" t="s">
        <v>5</v>
      </c>
      <c r="C15" s="193" t="s">
        <v>233</v>
      </c>
      <c r="D15" s="198">
        <f>SUM(D12:D14)</f>
        <v>3230</v>
      </c>
      <c r="E15" s="198">
        <f>SUM(E12:E14)</f>
        <v>351</v>
      </c>
      <c r="F15" s="198">
        <f>SUM(F12:F14)</f>
        <v>0</v>
      </c>
      <c r="G15" s="198">
        <f>SUM(G12:G14)</f>
        <v>0</v>
      </c>
      <c r="H15" s="199">
        <f>SUM(H12:H14)</f>
        <v>0</v>
      </c>
      <c r="I15" s="190">
        <v>2534.4</v>
      </c>
      <c r="J15" s="200">
        <v>3234</v>
      </c>
      <c r="K15" s="190">
        <f t="shared" si="0"/>
        <v>1404</v>
      </c>
    </row>
    <row r="16" spans="1:11" ht="24.95" customHeight="1" thickBot="1" x14ac:dyDescent="0.25">
      <c r="A16" s="201"/>
      <c r="B16" s="202"/>
      <c r="C16" s="202"/>
      <c r="D16" s="202"/>
      <c r="E16" s="202"/>
      <c r="F16" s="202"/>
      <c r="G16" s="203"/>
      <c r="H16" s="204"/>
    </row>
  </sheetData>
  <mergeCells count="6">
    <mergeCell ref="A3:C3"/>
    <mergeCell ref="A9:A11"/>
    <mergeCell ref="B9:B11"/>
    <mergeCell ref="C9:C11"/>
    <mergeCell ref="D9:H9"/>
    <mergeCell ref="D10:H10"/>
  </mergeCells>
  <printOptions horizontalCentered="1"/>
  <pageMargins left="0.25" right="0.25" top="0.75" bottom="0.75" header="0.3" footer="0.3"/>
  <pageSetup paperSize="9" scale="8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workbookViewId="0">
      <selection activeCell="A19" sqref="A19"/>
    </sheetView>
  </sheetViews>
  <sheetFormatPr baseColWidth="10" defaultRowHeight="14.25" x14ac:dyDescent="0.2"/>
  <cols>
    <col min="1" max="1" width="44.140625" style="390" bestFit="1" customWidth="1"/>
    <col min="2" max="4" width="11.42578125" style="390"/>
    <col min="5" max="9" width="0" style="390" hidden="1" customWidth="1"/>
    <col min="10" max="10" width="14.5703125" style="390" customWidth="1"/>
    <col min="11" max="11" width="13.85546875" style="390" customWidth="1"/>
    <col min="12" max="12" width="15.5703125" style="390" customWidth="1"/>
    <col min="13" max="13" width="14.7109375" style="390" customWidth="1"/>
    <col min="14" max="16384" width="11.42578125" style="390"/>
  </cols>
  <sheetData>
    <row r="1" spans="1:16" ht="15.75" x14ac:dyDescent="0.2">
      <c r="A1" s="496" t="s">
        <v>77</v>
      </c>
      <c r="B1" s="496"/>
      <c r="C1" s="496"/>
      <c r="D1" s="496"/>
      <c r="E1" s="496"/>
      <c r="F1" s="496"/>
      <c r="G1" s="496"/>
      <c r="H1" s="496"/>
      <c r="I1" s="496"/>
      <c r="J1" s="496"/>
      <c r="K1" s="496"/>
      <c r="L1" s="496"/>
      <c r="M1" s="496"/>
      <c r="N1" s="496"/>
      <c r="O1" s="496"/>
      <c r="P1" s="496"/>
    </row>
    <row r="2" spans="1:16" ht="23.25" x14ac:dyDescent="0.2">
      <c r="A2" s="94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6"/>
    </row>
    <row r="3" spans="1:16" ht="15.75" x14ac:dyDescent="0.2">
      <c r="A3" s="97" t="s">
        <v>262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18"/>
    </row>
    <row r="4" spans="1:16" ht="15.75" x14ac:dyDescent="0.2">
      <c r="A4" s="97" t="s">
        <v>263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218"/>
    </row>
    <row r="5" spans="1:16" ht="15.75" x14ac:dyDescent="0.2">
      <c r="A5" s="97" t="s">
        <v>133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218"/>
    </row>
    <row r="6" spans="1:16" x14ac:dyDescent="0.2">
      <c r="A6" s="95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6"/>
    </row>
    <row r="7" spans="1:16" ht="16.5" thickBot="1" x14ac:dyDescent="0.25">
      <c r="A7" s="99" t="s">
        <v>4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</row>
    <row r="8" spans="1:16" ht="15" thickBot="1" x14ac:dyDescent="0.25">
      <c r="A8" s="497" t="s">
        <v>8</v>
      </c>
      <c r="B8" s="500" t="s">
        <v>9</v>
      </c>
      <c r="C8" s="500" t="s">
        <v>10</v>
      </c>
      <c r="D8" s="500" t="s">
        <v>11</v>
      </c>
      <c r="E8" s="100" t="s">
        <v>12</v>
      </c>
      <c r="F8" s="100"/>
      <c r="G8" s="100"/>
      <c r="H8" s="100"/>
      <c r="I8" s="100"/>
      <c r="J8" s="503"/>
      <c r="K8" s="503"/>
      <c r="L8" s="503"/>
      <c r="M8" s="503"/>
      <c r="N8" s="503"/>
      <c r="O8" s="503"/>
      <c r="P8" s="504"/>
    </row>
    <row r="9" spans="1:16" ht="15" thickBot="1" x14ac:dyDescent="0.25">
      <c r="A9" s="498"/>
      <c r="B9" s="501"/>
      <c r="C9" s="501"/>
      <c r="D9" s="501"/>
      <c r="E9" s="101">
        <v>2002</v>
      </c>
      <c r="F9" s="101">
        <v>2003</v>
      </c>
      <c r="G9" s="101">
        <v>2004</v>
      </c>
      <c r="H9" s="101">
        <v>2005</v>
      </c>
      <c r="I9" s="102">
        <v>2006</v>
      </c>
      <c r="J9" s="153">
        <v>2016</v>
      </c>
      <c r="K9" s="153">
        <v>2017</v>
      </c>
      <c r="L9" s="153">
        <v>2018</v>
      </c>
      <c r="M9" s="505">
        <v>2019</v>
      </c>
      <c r="N9" s="506"/>
      <c r="O9" s="506"/>
      <c r="P9" s="507"/>
    </row>
    <row r="10" spans="1:16" ht="36.75" thickBot="1" x14ac:dyDescent="0.25">
      <c r="A10" s="499"/>
      <c r="B10" s="502"/>
      <c r="C10" s="502"/>
      <c r="D10" s="502"/>
      <c r="E10" s="219" t="s">
        <v>13</v>
      </c>
      <c r="F10" s="219" t="s">
        <v>13</v>
      </c>
      <c r="G10" s="219" t="s">
        <v>13</v>
      </c>
      <c r="H10" s="219" t="s">
        <v>14</v>
      </c>
      <c r="I10" s="103" t="s">
        <v>71</v>
      </c>
      <c r="J10" s="154" t="s">
        <v>71</v>
      </c>
      <c r="K10" s="154" t="s">
        <v>71</v>
      </c>
      <c r="L10" s="391" t="s">
        <v>71</v>
      </c>
      <c r="M10" s="155" t="s">
        <v>72</v>
      </c>
      <c r="N10" s="156" t="s">
        <v>75</v>
      </c>
      <c r="O10" s="156" t="s">
        <v>76</v>
      </c>
      <c r="P10" s="157" t="s">
        <v>78</v>
      </c>
    </row>
    <row r="11" spans="1:16" ht="15" thickBot="1" x14ac:dyDescent="0.25">
      <c r="A11" s="163"/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3"/>
      <c r="N11" s="164"/>
      <c r="O11" s="164"/>
      <c r="P11" s="165"/>
    </row>
    <row r="12" spans="1:16" x14ac:dyDescent="0.2">
      <c r="A12" s="104" t="s">
        <v>15</v>
      </c>
      <c r="B12" s="105" t="s">
        <v>5</v>
      </c>
      <c r="C12" s="105" t="s">
        <v>16</v>
      </c>
      <c r="D12" s="105" t="s">
        <v>17</v>
      </c>
      <c r="E12" s="106" t="s">
        <v>18</v>
      </c>
      <c r="F12" s="106" t="s">
        <v>18</v>
      </c>
      <c r="G12" s="106" t="s">
        <v>18</v>
      </c>
      <c r="H12" s="158">
        <v>150</v>
      </c>
      <c r="I12" s="159">
        <v>100</v>
      </c>
      <c r="J12" s="138">
        <v>75</v>
      </c>
      <c r="K12" s="138">
        <v>75</v>
      </c>
      <c r="L12" s="392">
        <v>75</v>
      </c>
      <c r="M12" s="160">
        <v>73</v>
      </c>
      <c r="N12" s="161"/>
      <c r="O12" s="161"/>
      <c r="P12" s="162"/>
    </row>
    <row r="13" spans="1:16" x14ac:dyDescent="0.2">
      <c r="A13" s="104" t="s">
        <v>19</v>
      </c>
      <c r="B13" s="105" t="s">
        <v>5</v>
      </c>
      <c r="C13" s="105" t="s">
        <v>16</v>
      </c>
      <c r="D13" s="105" t="s">
        <v>17</v>
      </c>
      <c r="E13" s="106" t="s">
        <v>18</v>
      </c>
      <c r="F13" s="106" t="s">
        <v>18</v>
      </c>
      <c r="G13" s="106" t="s">
        <v>18</v>
      </c>
      <c r="H13" s="105">
        <v>130</v>
      </c>
      <c r="I13" s="131">
        <v>122</v>
      </c>
      <c r="J13" s="139">
        <v>405</v>
      </c>
      <c r="K13" s="139">
        <v>405</v>
      </c>
      <c r="L13" s="393">
        <v>405</v>
      </c>
      <c r="M13" s="140">
        <v>405</v>
      </c>
      <c r="N13" s="107"/>
      <c r="O13" s="107"/>
      <c r="P13" s="108"/>
    </row>
    <row r="14" spans="1:16" x14ac:dyDescent="0.2">
      <c r="A14" s="104" t="s">
        <v>20</v>
      </c>
      <c r="B14" s="105" t="s">
        <v>5</v>
      </c>
      <c r="C14" s="105" t="s">
        <v>21</v>
      </c>
      <c r="D14" s="105" t="s">
        <v>17</v>
      </c>
      <c r="E14" s="106" t="s">
        <v>18</v>
      </c>
      <c r="F14" s="106" t="s">
        <v>18</v>
      </c>
      <c r="G14" s="106" t="s">
        <v>18</v>
      </c>
      <c r="H14" s="106" t="s">
        <v>18</v>
      </c>
      <c r="I14" s="137" t="s">
        <v>73</v>
      </c>
      <c r="J14" s="141">
        <v>0</v>
      </c>
      <c r="K14" s="141">
        <v>0</v>
      </c>
      <c r="L14" s="394">
        <v>0</v>
      </c>
      <c r="M14" s="142">
        <v>0</v>
      </c>
      <c r="N14" s="109"/>
      <c r="O14" s="109"/>
      <c r="P14" s="110"/>
    </row>
    <row r="15" spans="1:16" x14ac:dyDescent="0.2">
      <c r="A15" s="104" t="s">
        <v>22</v>
      </c>
      <c r="B15" s="105" t="s">
        <v>5</v>
      </c>
      <c r="C15" s="105" t="s">
        <v>21</v>
      </c>
      <c r="D15" s="105" t="s">
        <v>17</v>
      </c>
      <c r="E15" s="106" t="s">
        <v>18</v>
      </c>
      <c r="F15" s="106" t="s">
        <v>18</v>
      </c>
      <c r="G15" s="106" t="s">
        <v>18</v>
      </c>
      <c r="H15" s="106" t="s">
        <v>18</v>
      </c>
      <c r="I15" s="137" t="s">
        <v>73</v>
      </c>
      <c r="J15" s="141">
        <v>0</v>
      </c>
      <c r="K15" s="141">
        <v>0</v>
      </c>
      <c r="L15" s="394">
        <v>0</v>
      </c>
      <c r="M15" s="142">
        <v>0</v>
      </c>
      <c r="N15" s="109"/>
      <c r="O15" s="395"/>
      <c r="P15" s="111"/>
    </row>
    <row r="16" spans="1:16" x14ac:dyDescent="0.2">
      <c r="A16" s="104" t="s">
        <v>22</v>
      </c>
      <c r="B16" s="105" t="s">
        <v>23</v>
      </c>
      <c r="C16" s="105" t="s">
        <v>21</v>
      </c>
      <c r="D16" s="105" t="s">
        <v>17</v>
      </c>
      <c r="E16" s="106" t="s">
        <v>18</v>
      </c>
      <c r="F16" s="106" t="s">
        <v>18</v>
      </c>
      <c r="G16" s="106" t="s">
        <v>18</v>
      </c>
      <c r="H16" s="106" t="s">
        <v>18</v>
      </c>
      <c r="I16" s="137" t="s">
        <v>73</v>
      </c>
      <c r="J16" s="141">
        <v>0</v>
      </c>
      <c r="K16" s="141">
        <v>0</v>
      </c>
      <c r="L16" s="394">
        <v>0</v>
      </c>
      <c r="M16" s="142">
        <v>0</v>
      </c>
      <c r="N16" s="109"/>
      <c r="O16" s="109"/>
      <c r="P16" s="110"/>
    </row>
    <row r="17" spans="1:16" x14ac:dyDescent="0.2">
      <c r="A17" s="104" t="s">
        <v>24</v>
      </c>
      <c r="B17" s="105" t="s">
        <v>23</v>
      </c>
      <c r="C17" s="105" t="s">
        <v>25</v>
      </c>
      <c r="D17" s="105" t="s">
        <v>17</v>
      </c>
      <c r="E17" s="112">
        <v>6026929</v>
      </c>
      <c r="F17" s="112">
        <v>4858726</v>
      </c>
      <c r="G17" s="112">
        <v>4801465</v>
      </c>
      <c r="H17" s="113">
        <v>5760000</v>
      </c>
      <c r="I17" s="143">
        <v>9200000</v>
      </c>
      <c r="J17" s="144">
        <v>3369154.7</v>
      </c>
      <c r="K17" s="396">
        <v>4261945.1900000004</v>
      </c>
      <c r="L17" s="397">
        <v>1374927.11</v>
      </c>
      <c r="M17" s="398">
        <v>1412775.51</v>
      </c>
      <c r="N17" s="114"/>
      <c r="O17" s="114"/>
      <c r="P17" s="115"/>
    </row>
    <row r="18" spans="1:16" x14ac:dyDescent="0.2">
      <c r="A18" s="104" t="s">
        <v>26</v>
      </c>
      <c r="B18" s="105" t="s">
        <v>23</v>
      </c>
      <c r="C18" s="105" t="s">
        <v>16</v>
      </c>
      <c r="D18" s="105" t="s">
        <v>17</v>
      </c>
      <c r="E18" s="116">
        <v>14280</v>
      </c>
      <c r="F18" s="116">
        <v>14280</v>
      </c>
      <c r="G18" s="116">
        <v>14280</v>
      </c>
      <c r="H18" s="117">
        <v>14280</v>
      </c>
      <c r="I18" s="145">
        <v>14280</v>
      </c>
      <c r="J18" s="146">
        <v>0</v>
      </c>
      <c r="K18" s="166">
        <v>0</v>
      </c>
      <c r="L18" s="399">
        <v>0</v>
      </c>
      <c r="M18" s="147">
        <v>0</v>
      </c>
      <c r="N18" s="118"/>
      <c r="O18" s="118"/>
      <c r="P18" s="119"/>
    </row>
    <row r="19" spans="1:16" ht="15" thickBot="1" x14ac:dyDescent="0.25">
      <c r="A19" s="104" t="s">
        <v>27</v>
      </c>
      <c r="B19" s="105" t="s">
        <v>23</v>
      </c>
      <c r="C19" s="105" t="s">
        <v>21</v>
      </c>
      <c r="D19" s="105" t="s">
        <v>17</v>
      </c>
      <c r="E19" s="116">
        <v>20492</v>
      </c>
      <c r="F19" s="116">
        <v>971505</v>
      </c>
      <c r="G19" s="116">
        <v>3837</v>
      </c>
      <c r="H19" s="106" t="s">
        <v>18</v>
      </c>
      <c r="I19" s="148"/>
      <c r="J19" s="149">
        <v>137704</v>
      </c>
      <c r="K19" s="400">
        <v>1026762</v>
      </c>
      <c r="L19" s="401">
        <v>12573148</v>
      </c>
      <c r="M19" s="402">
        <v>13719271</v>
      </c>
      <c r="N19" s="403"/>
      <c r="O19" s="404"/>
      <c r="P19" s="405"/>
    </row>
    <row r="20" spans="1:16" ht="15" thickBot="1" x14ac:dyDescent="0.25">
      <c r="A20" s="104"/>
      <c r="B20" s="105"/>
      <c r="C20" s="105"/>
      <c r="D20" s="105"/>
      <c r="E20" s="105"/>
      <c r="F20" s="105"/>
      <c r="G20" s="105"/>
      <c r="H20" s="105"/>
      <c r="I20" s="131"/>
      <c r="J20" s="150"/>
      <c r="K20" s="150"/>
      <c r="L20" s="150"/>
      <c r="M20" s="406"/>
      <c r="N20" s="407"/>
      <c r="O20" s="408"/>
      <c r="P20" s="409" t="s">
        <v>134</v>
      </c>
    </row>
    <row r="21" spans="1:16" ht="15" thickBot="1" x14ac:dyDescent="0.25">
      <c r="A21" s="167"/>
      <c r="B21" s="168"/>
      <c r="C21" s="168"/>
      <c r="D21" s="168"/>
      <c r="E21" s="168"/>
      <c r="F21" s="168"/>
      <c r="G21" s="168"/>
      <c r="H21" s="168"/>
      <c r="I21" s="168"/>
      <c r="J21" s="168"/>
      <c r="K21" s="168"/>
      <c r="L21" s="168"/>
      <c r="M21" s="168"/>
      <c r="N21" s="168"/>
      <c r="O21" s="168"/>
      <c r="P21" s="168"/>
    </row>
    <row r="22" spans="1:16" ht="15" thickBot="1" x14ac:dyDescent="0.25">
      <c r="A22" s="121" t="s">
        <v>29</v>
      </c>
      <c r="B22" s="122"/>
      <c r="C22" s="122"/>
      <c r="D22" s="122"/>
      <c r="E22" s="122"/>
      <c r="F22" s="122"/>
      <c r="G22" s="122"/>
      <c r="H22" s="122"/>
      <c r="I22" s="410"/>
      <c r="J22" s="411"/>
      <c r="K22" s="411"/>
      <c r="L22" s="412"/>
      <c r="M22" s="123"/>
      <c r="N22" s="124"/>
      <c r="O22" s="124"/>
      <c r="P22" s="125"/>
    </row>
    <row r="23" spans="1:16" x14ac:dyDescent="0.2">
      <c r="A23" s="126" t="s">
        <v>30</v>
      </c>
      <c r="B23" s="105" t="s">
        <v>5</v>
      </c>
      <c r="C23" s="105" t="s">
        <v>31</v>
      </c>
      <c r="D23" s="105" t="s">
        <v>32</v>
      </c>
      <c r="E23" s="105">
        <v>33</v>
      </c>
      <c r="F23" s="105">
        <v>33</v>
      </c>
      <c r="G23" s="105">
        <v>48</v>
      </c>
      <c r="H23" s="105">
        <v>48</v>
      </c>
      <c r="I23" s="131">
        <v>47</v>
      </c>
      <c r="J23" s="139">
        <v>34</v>
      </c>
      <c r="K23" s="413">
        <f>+K24+K28+K29+K31+K35</f>
        <v>33</v>
      </c>
      <c r="L23" s="414">
        <v>28</v>
      </c>
      <c r="M23" s="415">
        <v>25</v>
      </c>
      <c r="N23" s="127"/>
      <c r="O23" s="151"/>
      <c r="P23" s="151"/>
    </row>
    <row r="24" spans="1:16" x14ac:dyDescent="0.2">
      <c r="A24" s="126" t="s">
        <v>33</v>
      </c>
      <c r="B24" s="105" t="s">
        <v>5</v>
      </c>
      <c r="C24" s="105" t="s">
        <v>31</v>
      </c>
      <c r="D24" s="105" t="s">
        <v>32</v>
      </c>
      <c r="E24" s="105">
        <v>16</v>
      </c>
      <c r="F24" s="105">
        <v>16</v>
      </c>
      <c r="G24" s="105">
        <v>22</v>
      </c>
      <c r="H24" s="105">
        <v>22</v>
      </c>
      <c r="I24" s="131">
        <v>19</v>
      </c>
      <c r="J24" s="139">
        <v>17</v>
      </c>
      <c r="K24" s="416">
        <f>SUM(K25:K27)</f>
        <v>16</v>
      </c>
      <c r="L24" s="417">
        <v>17</v>
      </c>
      <c r="M24" s="127">
        <v>16</v>
      </c>
      <c r="N24" s="128"/>
      <c r="O24" s="128"/>
      <c r="P24" s="128"/>
    </row>
    <row r="25" spans="1:16" x14ac:dyDescent="0.2">
      <c r="A25" s="104" t="s">
        <v>34</v>
      </c>
      <c r="B25" s="105" t="s">
        <v>5</v>
      </c>
      <c r="C25" s="105" t="s">
        <v>31</v>
      </c>
      <c r="D25" s="105" t="s">
        <v>32</v>
      </c>
      <c r="E25" s="105">
        <v>1</v>
      </c>
      <c r="F25" s="105">
        <v>1</v>
      </c>
      <c r="G25" s="105">
        <v>1</v>
      </c>
      <c r="H25" s="105">
        <v>1</v>
      </c>
      <c r="I25" s="131">
        <v>1</v>
      </c>
      <c r="J25" s="139">
        <v>2</v>
      </c>
      <c r="K25" s="416">
        <v>2</v>
      </c>
      <c r="L25" s="416">
        <v>2</v>
      </c>
      <c r="M25" s="127">
        <v>2</v>
      </c>
      <c r="N25" s="128"/>
      <c r="O25" s="128"/>
      <c r="P25" s="128"/>
    </row>
    <row r="26" spans="1:16" x14ac:dyDescent="0.2">
      <c r="A26" s="104" t="s">
        <v>35</v>
      </c>
      <c r="B26" s="105" t="s">
        <v>5</v>
      </c>
      <c r="C26" s="105" t="s">
        <v>31</v>
      </c>
      <c r="D26" s="105" t="s">
        <v>32</v>
      </c>
      <c r="E26" s="105">
        <v>5</v>
      </c>
      <c r="F26" s="105">
        <v>5</v>
      </c>
      <c r="G26" s="105">
        <v>6</v>
      </c>
      <c r="H26" s="105">
        <v>6</v>
      </c>
      <c r="I26" s="131">
        <v>5</v>
      </c>
      <c r="J26" s="139">
        <v>2</v>
      </c>
      <c r="K26" s="416">
        <v>2</v>
      </c>
      <c r="L26" s="416">
        <v>2</v>
      </c>
      <c r="M26" s="127">
        <v>2</v>
      </c>
      <c r="N26" s="128"/>
      <c r="O26" s="128"/>
      <c r="P26" s="128"/>
    </row>
    <row r="27" spans="1:16" x14ac:dyDescent="0.2">
      <c r="A27" s="104" t="s">
        <v>36</v>
      </c>
      <c r="B27" s="105" t="s">
        <v>5</v>
      </c>
      <c r="C27" s="105" t="s">
        <v>31</v>
      </c>
      <c r="D27" s="105" t="s">
        <v>32</v>
      </c>
      <c r="E27" s="105">
        <v>10</v>
      </c>
      <c r="F27" s="105">
        <v>10</v>
      </c>
      <c r="G27" s="105">
        <v>15</v>
      </c>
      <c r="H27" s="105">
        <v>15</v>
      </c>
      <c r="I27" s="131">
        <v>13</v>
      </c>
      <c r="J27" s="139">
        <v>13</v>
      </c>
      <c r="K27" s="416">
        <v>12</v>
      </c>
      <c r="L27" s="417">
        <v>13</v>
      </c>
      <c r="M27" s="127">
        <v>12</v>
      </c>
      <c r="N27" s="128"/>
      <c r="O27" s="128"/>
      <c r="P27" s="128"/>
    </row>
    <row r="28" spans="1:16" x14ac:dyDescent="0.2">
      <c r="A28" s="126" t="s">
        <v>37</v>
      </c>
      <c r="B28" s="105" t="s">
        <v>5</v>
      </c>
      <c r="C28" s="105" t="s">
        <v>31</v>
      </c>
      <c r="D28" s="105" t="s">
        <v>32</v>
      </c>
      <c r="E28" s="105">
        <v>15</v>
      </c>
      <c r="F28" s="105">
        <v>15</v>
      </c>
      <c r="G28" s="105">
        <v>24</v>
      </c>
      <c r="H28" s="105">
        <v>24</v>
      </c>
      <c r="I28" s="131">
        <v>26</v>
      </c>
      <c r="J28" s="139">
        <v>15</v>
      </c>
      <c r="K28" s="416">
        <v>14</v>
      </c>
      <c r="L28" s="417">
        <v>9</v>
      </c>
      <c r="M28" s="127">
        <v>8</v>
      </c>
      <c r="N28" s="128"/>
      <c r="O28" s="128"/>
      <c r="P28" s="128"/>
    </row>
    <row r="29" spans="1:16" x14ac:dyDescent="0.2">
      <c r="A29" s="104" t="s">
        <v>38</v>
      </c>
      <c r="B29" s="105" t="s">
        <v>5</v>
      </c>
      <c r="C29" s="105" t="s">
        <v>31</v>
      </c>
      <c r="D29" s="105" t="s">
        <v>32</v>
      </c>
      <c r="E29" s="105">
        <v>2</v>
      </c>
      <c r="F29" s="105">
        <v>2</v>
      </c>
      <c r="G29" s="105">
        <v>2</v>
      </c>
      <c r="H29" s="105">
        <v>2</v>
      </c>
      <c r="I29" s="131">
        <v>2</v>
      </c>
      <c r="J29" s="139">
        <v>1</v>
      </c>
      <c r="K29" s="416">
        <v>1</v>
      </c>
      <c r="L29" s="417">
        <v>0</v>
      </c>
      <c r="M29" s="127">
        <v>0</v>
      </c>
      <c r="N29" s="128"/>
      <c r="O29" s="128"/>
      <c r="P29" s="128"/>
    </row>
    <row r="30" spans="1:16" x14ac:dyDescent="0.2">
      <c r="A30" s="104" t="s">
        <v>39</v>
      </c>
      <c r="B30" s="105" t="s">
        <v>5</v>
      </c>
      <c r="C30" s="105" t="s">
        <v>31</v>
      </c>
      <c r="D30" s="105" t="s">
        <v>32</v>
      </c>
      <c r="E30" s="105">
        <v>35</v>
      </c>
      <c r="F30" s="105">
        <v>33</v>
      </c>
      <c r="G30" s="105">
        <v>48</v>
      </c>
      <c r="H30" s="105">
        <v>48</v>
      </c>
      <c r="I30" s="131">
        <v>47</v>
      </c>
      <c r="J30" s="139">
        <v>34</v>
      </c>
      <c r="K30" s="416">
        <f>SUM(K25:K29)</f>
        <v>31</v>
      </c>
      <c r="L30" s="417">
        <v>28</v>
      </c>
      <c r="M30" s="127">
        <v>25</v>
      </c>
      <c r="N30" s="128"/>
      <c r="O30" s="128"/>
      <c r="P30" s="128"/>
    </row>
    <row r="31" spans="1:16" x14ac:dyDescent="0.2">
      <c r="A31" s="104" t="s">
        <v>40</v>
      </c>
      <c r="B31" s="105" t="s">
        <v>5</v>
      </c>
      <c r="C31" s="105" t="s">
        <v>31</v>
      </c>
      <c r="D31" s="105" t="s">
        <v>32</v>
      </c>
      <c r="E31" s="105">
        <v>1</v>
      </c>
      <c r="F31" s="105">
        <v>1</v>
      </c>
      <c r="G31" s="105">
        <v>1</v>
      </c>
      <c r="H31" s="105">
        <v>1</v>
      </c>
      <c r="I31" s="131">
        <v>1</v>
      </c>
      <c r="J31" s="139">
        <v>1</v>
      </c>
      <c r="K31" s="416">
        <v>1</v>
      </c>
      <c r="L31" s="417">
        <v>1</v>
      </c>
      <c r="M31" s="127">
        <v>1</v>
      </c>
      <c r="N31" s="128"/>
      <c r="O31" s="128"/>
      <c r="P31" s="128"/>
    </row>
    <row r="32" spans="1:16" x14ac:dyDescent="0.2">
      <c r="A32" s="104" t="s">
        <v>41</v>
      </c>
      <c r="B32" s="105" t="s">
        <v>5</v>
      </c>
      <c r="C32" s="105" t="s">
        <v>31</v>
      </c>
      <c r="D32" s="105" t="s">
        <v>32</v>
      </c>
      <c r="E32" s="105">
        <v>6</v>
      </c>
      <c r="F32" s="105">
        <v>6</v>
      </c>
      <c r="G32" s="105">
        <v>28</v>
      </c>
      <c r="H32" s="105">
        <v>30</v>
      </c>
      <c r="I32" s="131">
        <v>30</v>
      </c>
      <c r="J32" s="139">
        <v>24</v>
      </c>
      <c r="K32" s="418">
        <v>23</v>
      </c>
      <c r="L32" s="419">
        <v>24</v>
      </c>
      <c r="M32" s="420">
        <v>21</v>
      </c>
      <c r="N32" s="127"/>
      <c r="O32" s="152"/>
      <c r="P32" s="152"/>
    </row>
    <row r="33" spans="1:16" x14ac:dyDescent="0.2">
      <c r="A33" s="104" t="s">
        <v>42</v>
      </c>
      <c r="B33" s="105" t="s">
        <v>5</v>
      </c>
      <c r="C33" s="105" t="s">
        <v>31</v>
      </c>
      <c r="D33" s="105" t="s">
        <v>32</v>
      </c>
      <c r="E33" s="105">
        <v>22</v>
      </c>
      <c r="F33" s="105">
        <v>22</v>
      </c>
      <c r="G33" s="105">
        <v>2</v>
      </c>
      <c r="H33" s="105">
        <v>2</v>
      </c>
      <c r="I33" s="131">
        <v>3</v>
      </c>
      <c r="J33" s="139">
        <v>2</v>
      </c>
      <c r="K33" s="416">
        <v>2</v>
      </c>
      <c r="L33" s="417">
        <v>0</v>
      </c>
      <c r="M33" s="127">
        <v>0</v>
      </c>
      <c r="N33" s="127"/>
      <c r="O33" s="128"/>
      <c r="P33" s="128"/>
    </row>
    <row r="34" spans="1:16" x14ac:dyDescent="0.2">
      <c r="A34" s="104" t="s">
        <v>43</v>
      </c>
      <c r="B34" s="105" t="s">
        <v>5</v>
      </c>
      <c r="C34" s="105" t="s">
        <v>31</v>
      </c>
      <c r="D34" s="105" t="s">
        <v>32</v>
      </c>
      <c r="E34" s="105">
        <v>2</v>
      </c>
      <c r="F34" s="105">
        <v>2</v>
      </c>
      <c r="G34" s="105">
        <v>4</v>
      </c>
      <c r="H34" s="105">
        <v>2</v>
      </c>
      <c r="I34" s="131">
        <v>3</v>
      </c>
      <c r="J34" s="139">
        <v>2</v>
      </c>
      <c r="K34" s="416">
        <v>3</v>
      </c>
      <c r="L34" s="417">
        <v>3</v>
      </c>
      <c r="M34" s="127">
        <v>2</v>
      </c>
      <c r="N34" s="127"/>
      <c r="O34" s="128"/>
      <c r="P34" s="128"/>
    </row>
    <row r="35" spans="1:16" x14ac:dyDescent="0.2">
      <c r="A35" s="104" t="s">
        <v>44</v>
      </c>
      <c r="B35" s="105" t="s">
        <v>5</v>
      </c>
      <c r="C35" s="105" t="s">
        <v>31</v>
      </c>
      <c r="D35" s="105" t="s">
        <v>32</v>
      </c>
      <c r="E35" s="105">
        <v>2</v>
      </c>
      <c r="F35" s="105">
        <v>2</v>
      </c>
      <c r="G35" s="105">
        <v>13</v>
      </c>
      <c r="H35" s="105">
        <v>13</v>
      </c>
      <c r="I35" s="131">
        <v>13</v>
      </c>
      <c r="J35" s="139">
        <v>1</v>
      </c>
      <c r="K35" s="416">
        <v>1</v>
      </c>
      <c r="L35" s="417">
        <v>2</v>
      </c>
      <c r="M35" s="127">
        <v>2</v>
      </c>
      <c r="N35" s="127"/>
      <c r="O35" s="128"/>
      <c r="P35" s="128"/>
    </row>
    <row r="36" spans="1:16" x14ac:dyDescent="0.2">
      <c r="A36" s="104" t="s">
        <v>45</v>
      </c>
      <c r="B36" s="105" t="s">
        <v>5</v>
      </c>
      <c r="C36" s="105" t="s">
        <v>31</v>
      </c>
      <c r="D36" s="105" t="s">
        <v>32</v>
      </c>
      <c r="E36" s="105">
        <v>0</v>
      </c>
      <c r="F36" s="105">
        <v>0</v>
      </c>
      <c r="G36" s="105">
        <v>0</v>
      </c>
      <c r="H36" s="105">
        <v>0</v>
      </c>
      <c r="I36" s="131">
        <v>0</v>
      </c>
      <c r="J36" s="139">
        <v>0</v>
      </c>
      <c r="K36" s="416">
        <v>0</v>
      </c>
      <c r="L36" s="417">
        <v>0</v>
      </c>
      <c r="M36" s="127">
        <v>0</v>
      </c>
      <c r="N36" s="127"/>
      <c r="O36" s="128"/>
      <c r="P36" s="128"/>
    </row>
    <row r="37" spans="1:16" x14ac:dyDescent="0.2">
      <c r="A37" s="104" t="s">
        <v>46</v>
      </c>
      <c r="B37" s="105" t="s">
        <v>5</v>
      </c>
      <c r="C37" s="105"/>
      <c r="D37" s="105" t="s">
        <v>32</v>
      </c>
      <c r="E37" s="105">
        <v>2</v>
      </c>
      <c r="F37" s="105">
        <v>2</v>
      </c>
      <c r="G37" s="105">
        <v>2</v>
      </c>
      <c r="H37" s="105">
        <v>2</v>
      </c>
      <c r="I37" s="131">
        <v>0</v>
      </c>
      <c r="J37" s="139">
        <v>0</v>
      </c>
      <c r="K37" s="416">
        <v>0</v>
      </c>
      <c r="L37" s="417">
        <v>0</v>
      </c>
      <c r="M37" s="127">
        <v>0</v>
      </c>
      <c r="N37" s="127"/>
      <c r="O37" s="128"/>
      <c r="P37" s="128"/>
    </row>
    <row r="38" spans="1:16" x14ac:dyDescent="0.2">
      <c r="A38" s="121" t="s">
        <v>47</v>
      </c>
      <c r="B38" s="122"/>
      <c r="C38" s="122"/>
      <c r="D38" s="122"/>
      <c r="E38" s="122"/>
      <c r="F38" s="122"/>
      <c r="G38" s="122"/>
      <c r="H38" s="122"/>
      <c r="I38" s="410"/>
      <c r="J38" s="421"/>
      <c r="K38" s="421"/>
      <c r="L38" s="421"/>
      <c r="M38" s="130"/>
      <c r="N38" s="129"/>
      <c r="O38" s="122"/>
      <c r="P38" s="130"/>
    </row>
    <row r="39" spans="1:16" x14ac:dyDescent="0.2">
      <c r="A39" s="126" t="s">
        <v>48</v>
      </c>
      <c r="B39" s="105" t="s">
        <v>5</v>
      </c>
      <c r="C39" s="105" t="s">
        <v>31</v>
      </c>
      <c r="D39" s="105" t="s">
        <v>17</v>
      </c>
      <c r="E39" s="105">
        <v>0</v>
      </c>
      <c r="F39" s="105">
        <v>0</v>
      </c>
      <c r="G39" s="105">
        <v>0</v>
      </c>
      <c r="H39" s="105">
        <v>0</v>
      </c>
      <c r="I39" s="131">
        <v>0</v>
      </c>
      <c r="J39" s="139">
        <v>0</v>
      </c>
      <c r="K39" s="416">
        <v>0</v>
      </c>
      <c r="L39" s="416">
        <v>0</v>
      </c>
      <c r="M39" s="422">
        <v>0</v>
      </c>
      <c r="N39" s="132"/>
      <c r="O39" s="128"/>
      <c r="P39" s="108"/>
    </row>
    <row r="40" spans="1:16" x14ac:dyDescent="0.2">
      <c r="A40" s="126" t="s">
        <v>49</v>
      </c>
      <c r="B40" s="105" t="s">
        <v>5</v>
      </c>
      <c r="C40" s="105" t="s">
        <v>31</v>
      </c>
      <c r="D40" s="105" t="s">
        <v>32</v>
      </c>
      <c r="E40" s="105">
        <v>77</v>
      </c>
      <c r="F40" s="105">
        <v>77</v>
      </c>
      <c r="G40" s="105">
        <v>83</v>
      </c>
      <c r="H40" s="105">
        <v>111</v>
      </c>
      <c r="I40" s="131">
        <v>99</v>
      </c>
      <c r="J40" s="139">
        <v>109</v>
      </c>
      <c r="K40" s="416">
        <v>109</v>
      </c>
      <c r="L40" s="416">
        <v>109</v>
      </c>
      <c r="M40" s="422">
        <v>109</v>
      </c>
      <c r="N40" s="127"/>
      <c r="O40" s="128"/>
      <c r="P40" s="108"/>
    </row>
    <row r="41" spans="1:16" x14ac:dyDescent="0.2">
      <c r="A41" s="104" t="s">
        <v>50</v>
      </c>
      <c r="B41" s="105" t="s">
        <v>5</v>
      </c>
      <c r="C41" s="105" t="s">
        <v>31</v>
      </c>
      <c r="D41" s="105" t="s">
        <v>32</v>
      </c>
      <c r="E41" s="105">
        <v>58</v>
      </c>
      <c r="F41" s="105">
        <v>58</v>
      </c>
      <c r="G41" s="105">
        <v>64</v>
      </c>
      <c r="H41" s="105">
        <v>87</v>
      </c>
      <c r="I41" s="131">
        <v>80</v>
      </c>
      <c r="J41" s="139">
        <v>78</v>
      </c>
      <c r="K41" s="416">
        <f>78+14+26</f>
        <v>118</v>
      </c>
      <c r="L41" s="416">
        <v>118</v>
      </c>
      <c r="M41" s="422">
        <v>118</v>
      </c>
      <c r="N41" s="127"/>
      <c r="O41" s="128"/>
      <c r="P41" s="108"/>
    </row>
    <row r="42" spans="1:16" ht="15" thickBot="1" x14ac:dyDescent="0.25">
      <c r="A42" s="133" t="s">
        <v>51</v>
      </c>
      <c r="B42" s="134" t="s">
        <v>5</v>
      </c>
      <c r="C42" s="134" t="s">
        <v>31</v>
      </c>
      <c r="D42" s="134" t="s">
        <v>32</v>
      </c>
      <c r="E42" s="134">
        <v>19</v>
      </c>
      <c r="F42" s="134">
        <v>19</v>
      </c>
      <c r="G42" s="134">
        <v>19</v>
      </c>
      <c r="H42" s="134">
        <v>24</v>
      </c>
      <c r="I42" s="135">
        <v>19</v>
      </c>
      <c r="J42" s="150">
        <v>31</v>
      </c>
      <c r="K42" s="423">
        <f>31+4</f>
        <v>35</v>
      </c>
      <c r="L42" s="423">
        <v>35</v>
      </c>
      <c r="M42" s="424">
        <v>35</v>
      </c>
      <c r="N42" s="136"/>
      <c r="O42" s="425"/>
      <c r="P42" s="120"/>
    </row>
  </sheetData>
  <mergeCells count="7">
    <mergeCell ref="A1:P1"/>
    <mergeCell ref="A8:A10"/>
    <mergeCell ref="B8:B10"/>
    <mergeCell ref="C8:C10"/>
    <mergeCell ref="D8:D10"/>
    <mergeCell ref="J8:P8"/>
    <mergeCell ref="M9:P9"/>
  </mergeCells>
  <pageMargins left="0.7" right="0.7" top="0.75" bottom="0.75" header="0.3" footer="0.3"/>
  <pageSetup orientation="portrait" horizontalDpi="4294967295" verticalDpi="4294967295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zoomScaleNormal="75" zoomScaleSheetLayoutView="100" workbookViewId="0">
      <selection activeCell="A13" sqref="A13:K13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64" t="s">
        <v>77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6"/>
    </row>
    <row r="2" spans="1:15" s="1" customFormat="1" ht="15" customHeight="1" x14ac:dyDescent="0.25">
      <c r="A2" s="467" t="s">
        <v>260</v>
      </c>
      <c r="B2" s="468"/>
      <c r="C2" s="468"/>
      <c r="D2" s="24"/>
      <c r="E2" s="24"/>
      <c r="F2" s="6"/>
      <c r="G2" s="6"/>
      <c r="H2" s="6"/>
      <c r="I2" s="6"/>
      <c r="J2" s="6"/>
      <c r="K2" s="23"/>
      <c r="L2" s="6"/>
      <c r="M2" s="6"/>
      <c r="N2" s="6"/>
    </row>
    <row r="3" spans="1:15" s="1" customFormat="1" ht="15" customHeight="1" x14ac:dyDescent="0.25">
      <c r="A3" s="25" t="s">
        <v>188</v>
      </c>
      <c r="B3" s="212"/>
      <c r="C3" s="22"/>
      <c r="D3" s="6"/>
      <c r="E3" s="6"/>
      <c r="F3" s="6"/>
      <c r="G3" s="6"/>
      <c r="H3" s="6"/>
      <c r="I3" s="6"/>
      <c r="J3" s="6"/>
      <c r="K3" s="23"/>
      <c r="L3" s="6"/>
      <c r="M3" s="6"/>
      <c r="N3" s="6"/>
    </row>
    <row r="4" spans="1:15" s="1" customFormat="1" ht="15" customHeight="1" x14ac:dyDescent="0.25">
      <c r="A4" s="25" t="s">
        <v>261</v>
      </c>
      <c r="B4" s="212"/>
      <c r="C4" s="22"/>
      <c r="D4" s="6"/>
      <c r="E4" s="6"/>
      <c r="F4" s="6"/>
      <c r="G4" s="6"/>
      <c r="H4" s="6"/>
      <c r="I4" s="6"/>
      <c r="J4" s="6"/>
      <c r="K4" s="23"/>
      <c r="L4" s="6"/>
      <c r="M4" s="6"/>
      <c r="N4" s="6"/>
    </row>
    <row r="5" spans="1:15" s="1" customFormat="1" ht="15" customHeight="1" x14ac:dyDescent="0.25">
      <c r="A5" s="25" t="s">
        <v>237</v>
      </c>
      <c r="B5" s="212"/>
      <c r="C5" s="22"/>
      <c r="D5" s="6"/>
      <c r="E5" s="6"/>
      <c r="F5" s="6"/>
      <c r="G5" s="6"/>
      <c r="H5" s="6"/>
      <c r="I5" s="6"/>
      <c r="J5" s="6"/>
      <c r="K5" s="23"/>
      <c r="L5" s="6"/>
      <c r="M5" s="6"/>
      <c r="N5" s="6"/>
    </row>
    <row r="6" spans="1:15" ht="13.5" thickBot="1" x14ac:dyDescent="0.25">
      <c r="A6" s="54"/>
      <c r="B6" s="55"/>
      <c r="C6" s="55"/>
      <c r="D6" s="56"/>
      <c r="E6" s="56"/>
      <c r="F6" s="56"/>
      <c r="G6" s="56"/>
      <c r="H6" s="56"/>
      <c r="I6" s="56"/>
      <c r="J6" s="56"/>
      <c r="K6" s="58"/>
      <c r="L6" s="56"/>
      <c r="M6" s="56"/>
      <c r="N6" s="57"/>
    </row>
    <row r="7" spans="1:15" x14ac:dyDescent="0.2">
      <c r="A7" s="469" t="s">
        <v>3</v>
      </c>
      <c r="B7" s="472" t="s">
        <v>0</v>
      </c>
      <c r="C7" s="472" t="s">
        <v>1</v>
      </c>
      <c r="D7" s="213"/>
      <c r="E7" s="213"/>
      <c r="F7" s="475"/>
      <c r="G7" s="475"/>
      <c r="H7" s="475"/>
      <c r="I7" s="475"/>
      <c r="J7" s="475"/>
      <c r="K7" s="476"/>
      <c r="L7" s="59"/>
      <c r="M7" s="3"/>
      <c r="N7" s="3"/>
    </row>
    <row r="8" spans="1:15" x14ac:dyDescent="0.2">
      <c r="A8" s="470"/>
      <c r="B8" s="473"/>
      <c r="C8" s="473"/>
      <c r="D8" s="214"/>
      <c r="E8" s="214">
        <v>2006</v>
      </c>
      <c r="F8" s="2">
        <v>2018</v>
      </c>
      <c r="G8" s="2">
        <v>2019</v>
      </c>
      <c r="H8" s="477">
        <v>2019</v>
      </c>
      <c r="I8" s="478"/>
      <c r="J8" s="478"/>
      <c r="K8" s="479"/>
      <c r="L8" s="216">
        <v>2015</v>
      </c>
      <c r="M8" s="4">
        <v>2016</v>
      </c>
      <c r="N8" s="4"/>
    </row>
    <row r="9" spans="1:15" ht="33.75" customHeight="1" thickBot="1" x14ac:dyDescent="0.25">
      <c r="A9" s="471"/>
      <c r="B9" s="474"/>
      <c r="C9" s="474"/>
      <c r="D9" s="215"/>
      <c r="E9" s="215" t="s">
        <v>71</v>
      </c>
      <c r="F9" s="215" t="s">
        <v>71</v>
      </c>
      <c r="G9" s="215" t="s">
        <v>2</v>
      </c>
      <c r="H9" s="215" t="s">
        <v>72</v>
      </c>
      <c r="I9" s="215" t="s">
        <v>75</v>
      </c>
      <c r="J9" s="215" t="s">
        <v>76</v>
      </c>
      <c r="K9" s="5" t="s">
        <v>78</v>
      </c>
      <c r="L9" s="53" t="s">
        <v>2</v>
      </c>
      <c r="M9" s="5" t="s">
        <v>2</v>
      </c>
      <c r="N9" s="5"/>
    </row>
    <row r="10" spans="1:15" ht="13.5" thickBot="1" x14ac:dyDescent="0.25">
      <c r="A10" s="46" t="s">
        <v>79</v>
      </c>
      <c r="B10" s="37"/>
      <c r="C10" s="37"/>
      <c r="D10" s="37"/>
      <c r="E10" s="37"/>
      <c r="F10" s="91"/>
      <c r="G10" s="77"/>
      <c r="H10" s="92"/>
      <c r="I10" s="92"/>
      <c r="J10" s="92"/>
      <c r="K10" s="93"/>
      <c r="L10" s="34"/>
      <c r="M10" s="35"/>
      <c r="N10" s="34"/>
    </row>
    <row r="11" spans="1:15" s="230" customFormat="1" x14ac:dyDescent="0.2">
      <c r="A11" s="47" t="s">
        <v>223</v>
      </c>
      <c r="B11" s="28" t="s">
        <v>5</v>
      </c>
      <c r="C11" s="28" t="s">
        <v>70</v>
      </c>
      <c r="D11" s="28"/>
      <c r="E11" s="29"/>
      <c r="F11" s="48">
        <v>522</v>
      </c>
      <c r="G11" s="70">
        <v>500</v>
      </c>
      <c r="H11" s="70">
        <v>200</v>
      </c>
      <c r="I11" s="48"/>
      <c r="J11" s="49"/>
      <c r="K11" s="68"/>
      <c r="L11" s="386"/>
      <c r="M11" s="237"/>
      <c r="N11" s="238"/>
      <c r="O11" s="226"/>
    </row>
    <row r="12" spans="1:15" s="230" customFormat="1" ht="13.5" thickBot="1" x14ac:dyDescent="0.25">
      <c r="A12" s="169" t="s">
        <v>224</v>
      </c>
      <c r="B12" s="170" t="s">
        <v>5</v>
      </c>
      <c r="C12" s="170" t="s">
        <v>70</v>
      </c>
      <c r="D12" s="170"/>
      <c r="E12" s="171"/>
      <c r="F12" s="172">
        <v>3500</v>
      </c>
      <c r="G12" s="50">
        <v>3500</v>
      </c>
      <c r="H12" s="50">
        <v>1600</v>
      </c>
      <c r="I12" s="172"/>
      <c r="J12" s="173"/>
      <c r="K12" s="174"/>
      <c r="L12" s="387"/>
      <c r="M12" s="388"/>
      <c r="N12" s="389"/>
      <c r="O12" s="226"/>
    </row>
    <row r="13" spans="1:15" ht="27" customHeight="1" thickBot="1" x14ac:dyDescent="0.25">
      <c r="A13" s="508"/>
      <c r="B13" s="509"/>
      <c r="C13" s="509"/>
      <c r="D13" s="509"/>
      <c r="E13" s="509"/>
      <c r="F13" s="509"/>
      <c r="G13" s="509"/>
      <c r="H13" s="509"/>
      <c r="I13" s="509"/>
      <c r="J13" s="509"/>
      <c r="K13" s="510"/>
    </row>
  </sheetData>
  <mergeCells count="8">
    <mergeCell ref="A13:K13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3.937007874015748E-2" right="0.19685039370078741" top="0.43307086614173229" bottom="0" header="0" footer="0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opLeftCell="E1" workbookViewId="0">
      <selection activeCell="G21" sqref="G21"/>
    </sheetView>
  </sheetViews>
  <sheetFormatPr baseColWidth="10" defaultRowHeight="15" x14ac:dyDescent="0.25"/>
  <cols>
    <col min="1" max="1" width="12.5703125" style="426" customWidth="1"/>
    <col min="2" max="2" width="52.140625" style="426" bestFit="1" customWidth="1"/>
    <col min="3" max="3" width="10" style="426" customWidth="1"/>
    <col min="4" max="4" width="11" style="426" customWidth="1"/>
    <col min="5" max="6" width="17.140625" style="426" customWidth="1"/>
    <col min="7" max="7" width="18.7109375" style="458" customWidth="1"/>
    <col min="8" max="8" width="17.85546875" style="426" customWidth="1"/>
    <col min="9" max="9" width="18.140625" style="426" customWidth="1"/>
    <col min="10" max="11" width="17.5703125" style="426" bestFit="1" customWidth="1"/>
    <col min="12" max="12" width="18.28515625" style="426" bestFit="1" customWidth="1"/>
    <col min="13" max="13" width="17.5703125" style="426" bestFit="1" customWidth="1"/>
    <col min="14" max="14" width="17.5703125" style="426" customWidth="1"/>
    <col min="15" max="15" width="17.5703125" style="426" bestFit="1" customWidth="1"/>
    <col min="16" max="16384" width="11.42578125" style="426"/>
  </cols>
  <sheetData>
    <row r="1" spans="1:16" x14ac:dyDescent="0.25">
      <c r="A1" s="522" t="s">
        <v>136</v>
      </c>
      <c r="B1" s="523"/>
      <c r="C1" s="516" t="s">
        <v>4</v>
      </c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24"/>
    </row>
    <row r="2" spans="1:16" x14ac:dyDescent="0.25">
      <c r="A2" s="522" t="s">
        <v>85</v>
      </c>
      <c r="B2" s="523"/>
      <c r="C2" s="525"/>
      <c r="D2" s="526"/>
      <c r="E2" s="526"/>
      <c r="F2" s="526"/>
      <c r="G2" s="526"/>
      <c r="H2" s="526"/>
      <c r="I2" s="526"/>
      <c r="J2" s="526"/>
      <c r="K2" s="526"/>
      <c r="L2" s="526"/>
      <c r="M2" s="526"/>
      <c r="N2" s="527"/>
    </row>
    <row r="3" spans="1:16" x14ac:dyDescent="0.25">
      <c r="A3" s="522" t="s">
        <v>137</v>
      </c>
      <c r="B3" s="523"/>
      <c r="C3" s="518" t="s">
        <v>138</v>
      </c>
      <c r="D3" s="519"/>
      <c r="E3" s="519"/>
      <c r="F3" s="519"/>
      <c r="G3" s="519"/>
      <c r="H3" s="519"/>
      <c r="I3" s="519"/>
      <c r="J3" s="519"/>
      <c r="K3" s="519"/>
      <c r="L3" s="519"/>
      <c r="M3" s="519"/>
      <c r="N3" s="528"/>
    </row>
    <row r="4" spans="1:16" x14ac:dyDescent="0.25">
      <c r="A4" s="521" t="s">
        <v>86</v>
      </c>
      <c r="B4" s="529"/>
      <c r="C4" s="531" t="s">
        <v>87</v>
      </c>
      <c r="D4" s="531" t="s">
        <v>88</v>
      </c>
      <c r="E4" s="514">
        <v>2017</v>
      </c>
      <c r="F4" s="514">
        <v>2018</v>
      </c>
      <c r="G4" s="514">
        <v>2019</v>
      </c>
      <c r="H4" s="516">
        <v>2019</v>
      </c>
      <c r="I4" s="517"/>
      <c r="J4" s="517"/>
      <c r="K4" s="517"/>
      <c r="L4" s="520">
        <v>2019</v>
      </c>
      <c r="M4" s="514">
        <v>2020</v>
      </c>
      <c r="N4" s="514">
        <v>2021</v>
      </c>
    </row>
    <row r="5" spans="1:16" x14ac:dyDescent="0.25">
      <c r="A5" s="530"/>
      <c r="B5" s="529"/>
      <c r="C5" s="532"/>
      <c r="D5" s="533"/>
      <c r="E5" s="515"/>
      <c r="F5" s="515"/>
      <c r="G5" s="515"/>
      <c r="H5" s="518"/>
      <c r="I5" s="519"/>
      <c r="J5" s="519"/>
      <c r="K5" s="519"/>
      <c r="L5" s="520"/>
      <c r="M5" s="515"/>
      <c r="N5" s="515"/>
    </row>
    <row r="6" spans="1:16" ht="25.5" x14ac:dyDescent="0.25">
      <c r="A6" s="530"/>
      <c r="B6" s="529"/>
      <c r="C6" s="532"/>
      <c r="D6" s="533"/>
      <c r="E6" s="427" t="s">
        <v>89</v>
      </c>
      <c r="F6" s="427" t="s">
        <v>89</v>
      </c>
      <c r="G6" s="427" t="s">
        <v>90</v>
      </c>
      <c r="H6" s="427" t="s">
        <v>91</v>
      </c>
      <c r="I6" s="427" t="s">
        <v>92</v>
      </c>
      <c r="J6" s="427" t="s">
        <v>93</v>
      </c>
      <c r="K6" s="427" t="s">
        <v>94</v>
      </c>
      <c r="L6" s="427" t="s">
        <v>89</v>
      </c>
      <c r="M6" s="427" t="s">
        <v>90</v>
      </c>
      <c r="N6" s="427" t="s">
        <v>90</v>
      </c>
    </row>
    <row r="7" spans="1:16" x14ac:dyDescent="0.25">
      <c r="A7" s="521" t="s">
        <v>95</v>
      </c>
      <c r="B7" s="428" t="s">
        <v>96</v>
      </c>
      <c r="C7" s="429" t="s">
        <v>5</v>
      </c>
      <c r="D7" s="429" t="s">
        <v>52</v>
      </c>
      <c r="E7" s="430">
        <v>26095018</v>
      </c>
      <c r="F7" s="430">
        <v>25811061</v>
      </c>
      <c r="G7" s="431">
        <v>25953039</v>
      </c>
      <c r="H7" s="432">
        <v>6352273</v>
      </c>
      <c r="I7" s="433"/>
      <c r="J7" s="433"/>
      <c r="K7" s="434"/>
      <c r="L7" s="434"/>
      <c r="M7" s="431">
        <v>28548342</v>
      </c>
      <c r="N7" s="431">
        <v>31403176.200000003</v>
      </c>
      <c r="O7" s="435"/>
      <c r="P7" s="436"/>
    </row>
    <row r="8" spans="1:16" x14ac:dyDescent="0.25">
      <c r="A8" s="521"/>
      <c r="B8" s="428" t="s">
        <v>97</v>
      </c>
      <c r="C8" s="429" t="s">
        <v>23</v>
      </c>
      <c r="D8" s="429" t="s">
        <v>52</v>
      </c>
      <c r="E8" s="430">
        <v>1684508702.76</v>
      </c>
      <c r="F8" s="430">
        <v>2042980576.6799998</v>
      </c>
      <c r="G8" s="434">
        <v>2477737057</v>
      </c>
      <c r="H8" s="434">
        <v>562810577</v>
      </c>
      <c r="I8" s="434"/>
      <c r="J8" s="434"/>
      <c r="K8" s="434"/>
      <c r="L8" s="434"/>
      <c r="M8" s="434">
        <v>3005011890.5752358</v>
      </c>
      <c r="N8" s="434">
        <v>3644493444.930768</v>
      </c>
      <c r="O8" s="435"/>
      <c r="P8" s="436"/>
    </row>
    <row r="9" spans="1:16" x14ac:dyDescent="0.25">
      <c r="A9" s="521"/>
      <c r="B9" s="428" t="s">
        <v>98</v>
      </c>
      <c r="C9" s="429" t="s">
        <v>23</v>
      </c>
      <c r="D9" s="429" t="s">
        <v>52</v>
      </c>
      <c r="E9" s="430">
        <v>126562714</v>
      </c>
      <c r="F9" s="430">
        <v>147731312</v>
      </c>
      <c r="G9" s="434">
        <v>172440522</v>
      </c>
      <c r="H9" s="437">
        <v>41926225</v>
      </c>
      <c r="I9" s="434"/>
      <c r="J9" s="438"/>
      <c r="K9" s="434"/>
      <c r="L9" s="434"/>
      <c r="M9" s="434">
        <v>201282540.10912615</v>
      </c>
      <c r="N9" s="434">
        <v>234948610.00700277</v>
      </c>
      <c r="O9" s="435"/>
      <c r="P9" s="436"/>
    </row>
    <row r="10" spans="1:16" x14ac:dyDescent="0.25">
      <c r="A10" s="521"/>
      <c r="B10" s="439" t="s">
        <v>99</v>
      </c>
      <c r="C10" s="440" t="s">
        <v>5</v>
      </c>
      <c r="D10" s="440" t="s">
        <v>52</v>
      </c>
      <c r="E10" s="441">
        <v>615</v>
      </c>
      <c r="F10" s="441">
        <v>639</v>
      </c>
      <c r="G10" s="441">
        <v>652.18053299999997</v>
      </c>
      <c r="H10" s="441">
        <v>621</v>
      </c>
      <c r="I10" s="441"/>
      <c r="J10" s="441"/>
      <c r="K10" s="441"/>
      <c r="L10" s="441"/>
      <c r="M10" s="441">
        <v>676</v>
      </c>
      <c r="N10" s="441">
        <v>743.6</v>
      </c>
      <c r="O10" s="435"/>
    </row>
    <row r="11" spans="1:16" x14ac:dyDescent="0.25">
      <c r="A11" s="521"/>
      <c r="B11" s="428" t="s">
        <v>100</v>
      </c>
      <c r="C11" s="429" t="s">
        <v>23</v>
      </c>
      <c r="D11" s="429" t="s">
        <v>52</v>
      </c>
      <c r="E11" s="430">
        <v>1021760739</v>
      </c>
      <c r="F11" s="430">
        <v>1194437784</v>
      </c>
      <c r="G11" s="434">
        <v>1396297161.7436855</v>
      </c>
      <c r="H11" s="434">
        <v>348124495</v>
      </c>
      <c r="I11" s="434"/>
      <c r="J11" s="442"/>
      <c r="K11" s="442"/>
      <c r="L11" s="434"/>
      <c r="M11" s="434">
        <v>1632270671.6162219</v>
      </c>
      <c r="N11" s="434">
        <v>1908123584.5894759</v>
      </c>
      <c r="O11" s="435"/>
    </row>
    <row r="12" spans="1:16" x14ac:dyDescent="0.25">
      <c r="A12" s="521"/>
      <c r="B12" s="428" t="s">
        <v>101</v>
      </c>
      <c r="C12" s="429" t="s">
        <v>102</v>
      </c>
      <c r="D12" s="429" t="s">
        <v>52</v>
      </c>
      <c r="E12" s="430">
        <v>1661399.5756097562</v>
      </c>
      <c r="F12" s="430">
        <v>1869229.7089201878</v>
      </c>
      <c r="G12" s="434">
        <v>2140967.2492381576</v>
      </c>
      <c r="H12" s="434">
        <v>560586.94847020938</v>
      </c>
      <c r="I12" s="443"/>
      <c r="J12" s="443"/>
      <c r="K12" s="443"/>
      <c r="L12" s="434"/>
      <c r="M12" s="434">
        <v>2414601.5852310974</v>
      </c>
      <c r="N12" s="434">
        <v>2566061.8404914951</v>
      </c>
      <c r="O12" s="435"/>
    </row>
    <row r="13" spans="1:16" x14ac:dyDescent="0.25">
      <c r="A13" s="521"/>
      <c r="B13" s="439" t="s">
        <v>103</v>
      </c>
      <c r="C13" s="440" t="s">
        <v>5</v>
      </c>
      <c r="D13" s="440" t="s">
        <v>52</v>
      </c>
      <c r="E13" s="441">
        <v>1151</v>
      </c>
      <c r="F13" s="441">
        <v>1148</v>
      </c>
      <c r="G13" s="444">
        <v>1276</v>
      </c>
      <c r="H13" s="444">
        <v>1148</v>
      </c>
      <c r="I13" s="441"/>
      <c r="J13" s="441"/>
      <c r="K13" s="441"/>
      <c r="L13" s="441"/>
      <c r="M13" s="441">
        <v>1403.6000000000001</v>
      </c>
      <c r="N13" s="441">
        <v>1404</v>
      </c>
      <c r="O13" s="435"/>
    </row>
    <row r="14" spans="1:16" x14ac:dyDescent="0.25">
      <c r="A14" s="521"/>
      <c r="B14" s="428" t="s">
        <v>104</v>
      </c>
      <c r="C14" s="429" t="s">
        <v>23</v>
      </c>
      <c r="D14" s="429" t="s">
        <v>52</v>
      </c>
      <c r="E14" s="445">
        <v>2151216586</v>
      </c>
      <c r="F14" s="445">
        <v>2397910459</v>
      </c>
      <c r="G14" s="434">
        <v>2672894308.6447506</v>
      </c>
      <c r="H14" s="442">
        <v>659940883</v>
      </c>
      <c r="I14" s="442"/>
      <c r="J14" s="442"/>
      <c r="K14" s="442"/>
      <c r="L14" s="442"/>
      <c r="M14" s="442">
        <v>2979412328.9177828</v>
      </c>
      <c r="N14" s="434">
        <v>3321080746.4393077</v>
      </c>
      <c r="O14" s="435"/>
    </row>
    <row r="15" spans="1:16" x14ac:dyDescent="0.25">
      <c r="A15" s="521"/>
      <c r="B15" s="428" t="s">
        <v>105</v>
      </c>
      <c r="C15" s="429" t="s">
        <v>102</v>
      </c>
      <c r="D15" s="429" t="s">
        <v>7</v>
      </c>
      <c r="E15" s="445">
        <v>1868997.9026933101</v>
      </c>
      <c r="F15" s="445">
        <v>2088772.1768292682</v>
      </c>
      <c r="G15" s="442">
        <v>2094744.7559911839</v>
      </c>
      <c r="H15" s="442">
        <v>574861.39634146343</v>
      </c>
      <c r="I15" s="442"/>
      <c r="J15" s="442"/>
      <c r="K15" s="442"/>
      <c r="L15" s="442"/>
      <c r="M15" s="442">
        <v>2122693.3092888161</v>
      </c>
      <c r="N15" s="434">
        <v>2365442.1270935242</v>
      </c>
      <c r="O15" s="435"/>
    </row>
    <row r="16" spans="1:16" x14ac:dyDescent="0.25">
      <c r="A16" s="521"/>
      <c r="B16" s="428" t="s">
        <v>106</v>
      </c>
      <c r="C16" s="429" t="s">
        <v>5</v>
      </c>
      <c r="D16" s="446" t="s">
        <v>52</v>
      </c>
      <c r="E16" s="430">
        <v>0</v>
      </c>
      <c r="F16" s="430">
        <v>0</v>
      </c>
      <c r="G16" s="430">
        <v>0</v>
      </c>
      <c r="H16" s="430">
        <v>0</v>
      </c>
      <c r="I16" s="430"/>
      <c r="J16" s="446"/>
      <c r="K16" s="446"/>
      <c r="L16" s="446"/>
      <c r="M16" s="446">
        <v>0</v>
      </c>
      <c r="N16" s="446">
        <v>0</v>
      </c>
      <c r="O16" s="435"/>
    </row>
    <row r="17" spans="1:16" x14ac:dyDescent="0.25">
      <c r="A17" s="521"/>
      <c r="B17" s="428" t="s">
        <v>107</v>
      </c>
      <c r="C17" s="429" t="s">
        <v>5</v>
      </c>
      <c r="D17" s="429" t="s">
        <v>52</v>
      </c>
      <c r="E17" s="430">
        <v>19</v>
      </c>
      <c r="F17" s="430">
        <v>19</v>
      </c>
      <c r="G17" s="430">
        <v>20</v>
      </c>
      <c r="H17" s="447">
        <v>0</v>
      </c>
      <c r="I17" s="430"/>
      <c r="J17" s="430"/>
      <c r="K17" s="430"/>
      <c r="L17" s="448"/>
      <c r="M17" s="430">
        <v>20</v>
      </c>
      <c r="N17" s="430">
        <v>20</v>
      </c>
      <c r="O17" s="435"/>
    </row>
    <row r="18" spans="1:16" x14ac:dyDescent="0.25">
      <c r="A18" s="521"/>
      <c r="B18" s="428" t="s">
        <v>108</v>
      </c>
      <c r="C18" s="449" t="s">
        <v>23</v>
      </c>
      <c r="D18" s="449" t="s">
        <v>52</v>
      </c>
      <c r="E18" s="450">
        <v>4086359.05</v>
      </c>
      <c r="F18" s="450">
        <v>4746993.5999999996</v>
      </c>
      <c r="G18" s="434">
        <v>5514431.7870063223</v>
      </c>
      <c r="H18" s="434">
        <v>0</v>
      </c>
      <c r="I18" s="434"/>
      <c r="J18" s="443"/>
      <c r="K18" s="443"/>
      <c r="L18" s="443"/>
      <c r="M18" s="451">
        <v>6405940.3689833805</v>
      </c>
      <c r="N18" s="434">
        <v>7441577.590580482</v>
      </c>
      <c r="O18" s="435"/>
    </row>
    <row r="19" spans="1:16" x14ac:dyDescent="0.25">
      <c r="A19" s="521"/>
      <c r="B19" s="428" t="s">
        <v>109</v>
      </c>
      <c r="C19" s="429" t="s">
        <v>5</v>
      </c>
      <c r="D19" s="429" t="s">
        <v>52</v>
      </c>
      <c r="E19" s="430">
        <v>351</v>
      </c>
      <c r="F19" s="430">
        <v>335</v>
      </c>
      <c r="G19" s="450">
        <v>400</v>
      </c>
      <c r="H19" s="447">
        <v>95</v>
      </c>
      <c r="I19" s="430"/>
      <c r="J19" s="430"/>
      <c r="K19" s="430"/>
      <c r="L19" s="430"/>
      <c r="M19" s="430">
        <v>410</v>
      </c>
      <c r="N19" s="430">
        <v>410</v>
      </c>
      <c r="O19" s="435"/>
      <c r="P19" s="452"/>
    </row>
    <row r="20" spans="1:16" x14ac:dyDescent="0.25">
      <c r="A20" s="521"/>
      <c r="B20" s="428" t="s">
        <v>110</v>
      </c>
      <c r="C20" s="429" t="s">
        <v>5</v>
      </c>
      <c r="D20" s="429" t="s">
        <v>52</v>
      </c>
      <c r="E20" s="430">
        <v>353</v>
      </c>
      <c r="F20" s="430">
        <v>390</v>
      </c>
      <c r="G20" s="450">
        <v>390</v>
      </c>
      <c r="H20" s="447">
        <v>85</v>
      </c>
      <c r="I20" s="430"/>
      <c r="J20" s="430"/>
      <c r="K20" s="430"/>
      <c r="L20" s="430"/>
      <c r="M20" s="430">
        <v>400</v>
      </c>
      <c r="N20" s="430">
        <v>400</v>
      </c>
      <c r="O20" s="435"/>
    </row>
    <row r="21" spans="1:16" x14ac:dyDescent="0.25">
      <c r="A21" s="511" t="s">
        <v>28</v>
      </c>
      <c r="B21" s="439" t="s">
        <v>111</v>
      </c>
      <c r="C21" s="440"/>
      <c r="D21" s="453"/>
      <c r="E21" s="440"/>
      <c r="F21" s="440"/>
      <c r="G21" s="454"/>
      <c r="H21" s="455"/>
      <c r="I21" s="440"/>
      <c r="J21" s="440"/>
      <c r="K21" s="440"/>
      <c r="L21" s="440"/>
      <c r="M21" s="440"/>
      <c r="N21" s="440"/>
      <c r="O21" s="435"/>
    </row>
    <row r="22" spans="1:16" x14ac:dyDescent="0.25">
      <c r="A22" s="511"/>
      <c r="B22" s="428" t="s">
        <v>112</v>
      </c>
      <c r="C22" s="449" t="s">
        <v>5</v>
      </c>
      <c r="D22" s="449" t="s">
        <v>52</v>
      </c>
      <c r="E22" s="450">
        <v>602</v>
      </c>
      <c r="F22" s="450">
        <v>580</v>
      </c>
      <c r="G22" s="450">
        <v>520</v>
      </c>
      <c r="H22" s="456">
        <v>584</v>
      </c>
      <c r="I22" s="430"/>
      <c r="J22" s="450"/>
      <c r="K22" s="450"/>
      <c r="L22" s="450"/>
      <c r="M22" s="450">
        <v>480</v>
      </c>
      <c r="N22" s="450">
        <v>480</v>
      </c>
      <c r="O22" s="435"/>
    </row>
    <row r="23" spans="1:16" x14ac:dyDescent="0.25">
      <c r="A23" s="511"/>
      <c r="B23" s="428" t="s">
        <v>113</v>
      </c>
      <c r="C23" s="449" t="s">
        <v>5</v>
      </c>
      <c r="D23" s="449" t="s">
        <v>52</v>
      </c>
      <c r="E23" s="450">
        <v>70</v>
      </c>
      <c r="F23" s="450">
        <v>70</v>
      </c>
      <c r="G23" s="450">
        <v>62</v>
      </c>
      <c r="H23" s="456">
        <v>70</v>
      </c>
      <c r="I23" s="430"/>
      <c r="J23" s="450"/>
      <c r="K23" s="450"/>
      <c r="L23" s="450"/>
      <c r="M23" s="450">
        <v>58</v>
      </c>
      <c r="N23" s="450">
        <v>58</v>
      </c>
      <c r="O23" s="435"/>
    </row>
    <row r="24" spans="1:16" x14ac:dyDescent="0.25">
      <c r="A24" s="511"/>
      <c r="B24" s="428" t="s">
        <v>114</v>
      </c>
      <c r="C24" s="449" t="s">
        <v>5</v>
      </c>
      <c r="D24" s="449" t="s">
        <v>52</v>
      </c>
      <c r="E24" s="450">
        <v>112</v>
      </c>
      <c r="F24" s="450">
        <v>106</v>
      </c>
      <c r="G24" s="450">
        <v>88</v>
      </c>
      <c r="H24" s="456">
        <v>104</v>
      </c>
      <c r="I24" s="430"/>
      <c r="J24" s="450"/>
      <c r="K24" s="450"/>
      <c r="L24" s="450"/>
      <c r="M24" s="450">
        <v>76</v>
      </c>
      <c r="N24" s="450">
        <v>76</v>
      </c>
      <c r="O24" s="435"/>
    </row>
    <row r="25" spans="1:16" x14ac:dyDescent="0.25">
      <c r="A25" s="511"/>
      <c r="B25" s="428" t="s">
        <v>115</v>
      </c>
      <c r="C25" s="449" t="s">
        <v>5</v>
      </c>
      <c r="D25" s="449" t="s">
        <v>52</v>
      </c>
      <c r="E25" s="450">
        <v>461</v>
      </c>
      <c r="F25" s="450">
        <v>459</v>
      </c>
      <c r="G25" s="450">
        <v>432</v>
      </c>
      <c r="H25" s="456">
        <v>444</v>
      </c>
      <c r="I25" s="430"/>
      <c r="J25" s="450"/>
      <c r="K25" s="450"/>
      <c r="L25" s="450"/>
      <c r="M25" s="450">
        <v>404</v>
      </c>
      <c r="N25" s="450">
        <v>404</v>
      </c>
      <c r="O25" s="435"/>
    </row>
    <row r="26" spans="1:16" x14ac:dyDescent="0.25">
      <c r="A26" s="511"/>
      <c r="B26" s="428" t="s">
        <v>116</v>
      </c>
      <c r="C26" s="449" t="s">
        <v>5</v>
      </c>
      <c r="D26" s="449" t="s">
        <v>52</v>
      </c>
      <c r="E26" s="450">
        <v>602</v>
      </c>
      <c r="F26" s="450">
        <v>580</v>
      </c>
      <c r="G26" s="450">
        <v>534</v>
      </c>
      <c r="H26" s="456">
        <v>586</v>
      </c>
      <c r="I26" s="456"/>
      <c r="J26" s="456"/>
      <c r="K26" s="450"/>
      <c r="L26" s="450"/>
      <c r="M26" s="450">
        <v>493</v>
      </c>
      <c r="N26" s="450">
        <v>493</v>
      </c>
      <c r="O26" s="435"/>
    </row>
    <row r="27" spans="1:16" x14ac:dyDescent="0.25">
      <c r="A27" s="511"/>
      <c r="B27" s="428" t="s">
        <v>117</v>
      </c>
      <c r="C27" s="449" t="s">
        <v>5</v>
      </c>
      <c r="D27" s="449" t="s">
        <v>52</v>
      </c>
      <c r="E27" s="450">
        <v>4</v>
      </c>
      <c r="F27" s="450">
        <v>3</v>
      </c>
      <c r="G27" s="450">
        <v>4</v>
      </c>
      <c r="H27" s="456">
        <v>3</v>
      </c>
      <c r="I27" s="430"/>
      <c r="J27" s="450"/>
      <c r="K27" s="450"/>
      <c r="L27" s="450"/>
      <c r="M27" s="450">
        <v>4</v>
      </c>
      <c r="N27" s="450">
        <v>4</v>
      </c>
      <c r="O27" s="435"/>
    </row>
    <row r="28" spans="1:16" x14ac:dyDescent="0.25">
      <c r="A28" s="511"/>
      <c r="B28" s="428" t="s">
        <v>118</v>
      </c>
      <c r="C28" s="449" t="s">
        <v>5</v>
      </c>
      <c r="D28" s="449" t="s">
        <v>52</v>
      </c>
      <c r="E28" s="450">
        <v>573</v>
      </c>
      <c r="F28" s="450">
        <v>552</v>
      </c>
      <c r="G28" s="450">
        <v>502</v>
      </c>
      <c r="H28" s="456">
        <v>548</v>
      </c>
      <c r="I28" s="430"/>
      <c r="J28" s="450"/>
      <c r="K28" s="450"/>
      <c r="L28" s="450"/>
      <c r="M28" s="450">
        <v>463</v>
      </c>
      <c r="N28" s="450">
        <v>463</v>
      </c>
      <c r="O28" s="435"/>
    </row>
    <row r="29" spans="1:16" x14ac:dyDescent="0.25">
      <c r="A29" s="511"/>
      <c r="B29" s="428" t="s">
        <v>119</v>
      </c>
      <c r="C29" s="449" t="s">
        <v>5</v>
      </c>
      <c r="D29" s="449" t="s">
        <v>52</v>
      </c>
      <c r="E29" s="450">
        <v>14</v>
      </c>
      <c r="F29" s="450">
        <v>13</v>
      </c>
      <c r="G29" s="450">
        <v>18</v>
      </c>
      <c r="H29" s="456">
        <v>12</v>
      </c>
      <c r="I29" s="430"/>
      <c r="J29" s="450"/>
      <c r="K29" s="450"/>
      <c r="L29" s="450"/>
      <c r="M29" s="450">
        <v>16.8</v>
      </c>
      <c r="N29" s="450">
        <v>16.8</v>
      </c>
      <c r="O29" s="435"/>
    </row>
    <row r="30" spans="1:16" x14ac:dyDescent="0.25">
      <c r="A30" s="511"/>
      <c r="B30" s="428" t="s">
        <v>120</v>
      </c>
      <c r="C30" s="449" t="s">
        <v>5</v>
      </c>
      <c r="D30" s="449" t="s">
        <v>52</v>
      </c>
      <c r="E30" s="450">
        <v>1</v>
      </c>
      <c r="F30" s="450">
        <v>1</v>
      </c>
      <c r="G30" s="450">
        <v>1</v>
      </c>
      <c r="H30" s="456">
        <v>3</v>
      </c>
      <c r="I30" s="430"/>
      <c r="J30" s="450"/>
      <c r="K30" s="450"/>
      <c r="L30" s="450"/>
      <c r="M30" s="450">
        <v>1</v>
      </c>
      <c r="N30" s="450">
        <v>1</v>
      </c>
      <c r="O30" s="435"/>
    </row>
    <row r="31" spans="1:16" x14ac:dyDescent="0.25">
      <c r="A31" s="511"/>
      <c r="B31" s="428" t="s">
        <v>121</v>
      </c>
      <c r="C31" s="449" t="s">
        <v>5</v>
      </c>
      <c r="D31" s="449" t="s">
        <v>52</v>
      </c>
      <c r="E31" s="450">
        <v>9</v>
      </c>
      <c r="F31" s="450">
        <v>12</v>
      </c>
      <c r="G31" s="450">
        <v>8</v>
      </c>
      <c r="H31" s="456">
        <v>18</v>
      </c>
      <c r="I31" s="430"/>
      <c r="J31" s="450"/>
      <c r="K31" s="450"/>
      <c r="L31" s="450"/>
      <c r="M31" s="450">
        <v>7</v>
      </c>
      <c r="N31" s="450">
        <v>7</v>
      </c>
      <c r="O31" s="435"/>
    </row>
    <row r="32" spans="1:16" x14ac:dyDescent="0.25">
      <c r="A32" s="511"/>
      <c r="B32" s="428" t="s">
        <v>122</v>
      </c>
      <c r="C32" s="449" t="s">
        <v>5</v>
      </c>
      <c r="D32" s="449" t="s">
        <v>52</v>
      </c>
      <c r="E32" s="450">
        <v>1</v>
      </c>
      <c r="F32" s="450">
        <v>2</v>
      </c>
      <c r="G32" s="450">
        <v>1</v>
      </c>
      <c r="H32" s="456">
        <v>2</v>
      </c>
      <c r="I32" s="430"/>
      <c r="J32" s="450"/>
      <c r="K32" s="450"/>
      <c r="L32" s="450"/>
      <c r="M32" s="450">
        <v>1</v>
      </c>
      <c r="N32" s="450">
        <v>1</v>
      </c>
      <c r="O32" s="435"/>
    </row>
    <row r="33" spans="1:15" x14ac:dyDescent="0.25">
      <c r="A33" s="511"/>
      <c r="B33" s="439" t="s">
        <v>123</v>
      </c>
      <c r="C33" s="440"/>
      <c r="D33" s="453"/>
      <c r="E33" s="441"/>
      <c r="F33" s="441"/>
      <c r="G33" s="441"/>
      <c r="H33" s="455"/>
      <c r="I33" s="441"/>
      <c r="J33" s="441"/>
      <c r="K33" s="441"/>
      <c r="L33" s="441"/>
      <c r="M33" s="441"/>
      <c r="N33" s="441"/>
      <c r="O33" s="435"/>
    </row>
    <row r="34" spans="1:15" x14ac:dyDescent="0.25">
      <c r="A34" s="511"/>
      <c r="B34" s="428" t="s">
        <v>124</v>
      </c>
      <c r="C34" s="429" t="s">
        <v>5</v>
      </c>
      <c r="D34" s="429" t="s">
        <v>52</v>
      </c>
      <c r="E34" s="430">
        <v>13</v>
      </c>
      <c r="F34" s="430">
        <v>14</v>
      </c>
      <c r="G34" s="430">
        <v>16</v>
      </c>
      <c r="H34" s="430">
        <v>14</v>
      </c>
      <c r="I34" s="430"/>
      <c r="J34" s="430"/>
      <c r="K34" s="430"/>
      <c r="L34" s="430"/>
      <c r="M34" s="430">
        <v>17</v>
      </c>
      <c r="N34" s="430">
        <v>17</v>
      </c>
      <c r="O34" s="435"/>
    </row>
    <row r="35" spans="1:15" x14ac:dyDescent="0.25">
      <c r="A35" s="512"/>
      <c r="B35" s="428" t="s">
        <v>125</v>
      </c>
      <c r="C35" s="429" t="s">
        <v>5</v>
      </c>
      <c r="D35" s="429" t="s">
        <v>52</v>
      </c>
      <c r="E35" s="430">
        <v>931</v>
      </c>
      <c r="F35" s="430">
        <v>936</v>
      </c>
      <c r="G35" s="430">
        <v>1196.02</v>
      </c>
      <c r="H35" s="430">
        <v>936</v>
      </c>
      <c r="I35" s="430"/>
      <c r="J35" s="430"/>
      <c r="K35" s="430"/>
      <c r="L35" s="430"/>
      <c r="M35" s="430">
        <v>1316</v>
      </c>
      <c r="N35" s="430">
        <v>1382</v>
      </c>
      <c r="O35" s="435"/>
    </row>
    <row r="36" spans="1:15" x14ac:dyDescent="0.25">
      <c r="A36" s="512"/>
      <c r="B36" s="428" t="s">
        <v>126</v>
      </c>
      <c r="C36" s="429" t="s">
        <v>5</v>
      </c>
      <c r="D36" s="429" t="s">
        <v>52</v>
      </c>
      <c r="E36" s="430">
        <v>737</v>
      </c>
      <c r="F36" s="430">
        <v>728</v>
      </c>
      <c r="G36" s="430">
        <v>975.7</v>
      </c>
      <c r="H36" s="430">
        <v>728</v>
      </c>
      <c r="I36" s="430"/>
      <c r="J36" s="430"/>
      <c r="K36" s="430"/>
      <c r="L36" s="430"/>
      <c r="M36" s="430">
        <v>1062</v>
      </c>
      <c r="N36" s="430">
        <v>1115</v>
      </c>
      <c r="O36" s="435"/>
    </row>
    <row r="37" spans="1:15" x14ac:dyDescent="0.25">
      <c r="A37" s="512"/>
      <c r="B37" s="428" t="s">
        <v>127</v>
      </c>
      <c r="C37" s="429" t="s">
        <v>5</v>
      </c>
      <c r="D37" s="429" t="s">
        <v>52</v>
      </c>
      <c r="E37" s="430">
        <v>194</v>
      </c>
      <c r="F37" s="430">
        <v>208</v>
      </c>
      <c r="G37" s="430">
        <v>220.32000000000002</v>
      </c>
      <c r="H37" s="430">
        <v>208</v>
      </c>
      <c r="I37" s="430"/>
      <c r="J37" s="430"/>
      <c r="K37" s="430"/>
      <c r="L37" s="430"/>
      <c r="M37" s="430">
        <v>254</v>
      </c>
      <c r="N37" s="430">
        <v>267</v>
      </c>
      <c r="O37" s="435"/>
    </row>
    <row r="38" spans="1:15" x14ac:dyDescent="0.25">
      <c r="A38" s="512"/>
      <c r="B38" s="439" t="s">
        <v>128</v>
      </c>
      <c r="C38" s="440"/>
      <c r="D38" s="453"/>
      <c r="E38" s="441"/>
      <c r="F38" s="441"/>
      <c r="G38" s="441"/>
      <c r="H38" s="455"/>
      <c r="I38" s="441"/>
      <c r="J38" s="441"/>
      <c r="K38" s="441"/>
      <c r="L38" s="441"/>
      <c r="M38" s="441"/>
      <c r="N38" s="441"/>
      <c r="O38" s="435"/>
    </row>
    <row r="39" spans="1:15" x14ac:dyDescent="0.25">
      <c r="A39" s="512"/>
      <c r="B39" s="428" t="s">
        <v>129</v>
      </c>
      <c r="C39" s="429" t="s">
        <v>23</v>
      </c>
      <c r="D39" s="429" t="s">
        <v>52</v>
      </c>
      <c r="E39" s="434">
        <v>4595871918</v>
      </c>
      <c r="F39" s="434">
        <v>5780250395</v>
      </c>
      <c r="G39" s="434">
        <v>6777657684</v>
      </c>
      <c r="H39" s="434">
        <v>6777657684</v>
      </c>
      <c r="I39" s="434"/>
      <c r="J39" s="434"/>
      <c r="K39" s="434"/>
      <c r="L39" s="434"/>
      <c r="M39" s="434">
        <v>7455423452.4000006</v>
      </c>
      <c r="N39" s="434">
        <v>8200965797.6400013</v>
      </c>
      <c r="O39" s="435"/>
    </row>
    <row r="40" spans="1:15" x14ac:dyDescent="0.25">
      <c r="A40" s="512"/>
      <c r="B40" s="428" t="s">
        <v>130</v>
      </c>
      <c r="C40" s="429" t="s">
        <v>23</v>
      </c>
      <c r="D40" s="429" t="s">
        <v>52</v>
      </c>
      <c r="E40" s="434">
        <v>5173531150.3100004</v>
      </c>
      <c r="F40" s="434">
        <v>5979598733.5600004</v>
      </c>
      <c r="G40" s="434">
        <v>6777657684</v>
      </c>
      <c r="H40" s="434">
        <v>6777657684</v>
      </c>
      <c r="I40" s="434"/>
      <c r="J40" s="434"/>
      <c r="K40" s="434"/>
      <c r="L40" s="434"/>
      <c r="M40" s="434">
        <v>7455423452.4000006</v>
      </c>
      <c r="N40" s="434">
        <v>8200965797.6400013</v>
      </c>
      <c r="O40" s="435"/>
    </row>
    <row r="41" spans="1:15" x14ac:dyDescent="0.25">
      <c r="A41" s="512"/>
      <c r="B41" s="428" t="s">
        <v>131</v>
      </c>
      <c r="C41" s="429" t="s">
        <v>23</v>
      </c>
      <c r="D41" s="429" t="s">
        <v>52</v>
      </c>
      <c r="E41" s="434">
        <v>5068514801.5900002</v>
      </c>
      <c r="F41" s="434">
        <v>5615245001.8199997</v>
      </c>
      <c r="G41" s="434">
        <v>6777657684</v>
      </c>
      <c r="H41" s="434">
        <v>1504474232.6099999</v>
      </c>
      <c r="I41" s="434"/>
      <c r="J41" s="434"/>
      <c r="K41" s="434"/>
      <c r="L41" s="434"/>
      <c r="M41" s="434">
        <v>7455423452.4000006</v>
      </c>
      <c r="N41" s="434">
        <v>8200965797.6400013</v>
      </c>
      <c r="O41" s="435"/>
    </row>
    <row r="42" spans="1:15" ht="15.75" thickBot="1" x14ac:dyDescent="0.3">
      <c r="A42" s="513"/>
      <c r="B42" s="428" t="s">
        <v>132</v>
      </c>
      <c r="C42" s="429" t="s">
        <v>6</v>
      </c>
      <c r="D42" s="429" t="s">
        <v>52</v>
      </c>
      <c r="E42" s="457">
        <v>0.97970122423758721</v>
      </c>
      <c r="F42" s="457">
        <v>0.93906719364042013</v>
      </c>
      <c r="G42" s="457">
        <v>1</v>
      </c>
      <c r="H42" s="457">
        <v>0.22197554122003071</v>
      </c>
      <c r="I42" s="457"/>
      <c r="J42" s="457"/>
      <c r="K42" s="457"/>
      <c r="L42" s="457"/>
      <c r="M42" s="434">
        <v>0</v>
      </c>
      <c r="N42" s="434">
        <v>0</v>
      </c>
      <c r="O42" s="435"/>
    </row>
    <row r="43" spans="1:15" x14ac:dyDescent="0.25">
      <c r="H43" s="459"/>
      <c r="I43" s="459"/>
      <c r="L43" s="459"/>
    </row>
    <row r="44" spans="1:15" x14ac:dyDescent="0.25">
      <c r="G44" s="460"/>
      <c r="L44" s="459"/>
    </row>
    <row r="45" spans="1:15" x14ac:dyDescent="0.25">
      <c r="G45" s="460"/>
    </row>
    <row r="46" spans="1:15" x14ac:dyDescent="0.25">
      <c r="H46" s="459"/>
    </row>
  </sheetData>
  <mergeCells count="17"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  <mergeCell ref="A21:A42"/>
    <mergeCell ref="G4:G5"/>
    <mergeCell ref="H4:K5"/>
    <mergeCell ref="L4:L5"/>
    <mergeCell ref="M4:M5"/>
  </mergeCells>
  <pageMargins left="0.24" right="0.18" top="0.41" bottom="0.37" header="0.18" footer="0.31496062992125984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536"/>
  <sheetViews>
    <sheetView tabSelected="1" topLeftCell="A46" zoomScale="110" zoomScaleNormal="110" workbookViewId="0">
      <selection activeCell="A113" sqref="A113:A115"/>
    </sheetView>
  </sheetViews>
  <sheetFormatPr baseColWidth="10" defaultColWidth="9.140625" defaultRowHeight="12.75" x14ac:dyDescent="0.2"/>
  <cols>
    <col min="1" max="1" width="9.140625" style="245"/>
    <col min="2" max="2" width="30.42578125" style="384" customWidth="1"/>
    <col min="3" max="12" width="9.140625" style="385"/>
    <col min="13" max="16384" width="9.140625" style="245"/>
  </cols>
  <sheetData>
    <row r="1" spans="1:12" ht="12.75" customHeight="1" x14ac:dyDescent="0.2"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</row>
    <row r="2" spans="1:12" x14ac:dyDescent="0.2"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</row>
    <row r="3" spans="1:12" x14ac:dyDescent="0.2"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245"/>
    </row>
    <row r="4" spans="1:12" ht="14.65" customHeight="1" x14ac:dyDescent="0.2">
      <c r="B4" s="245"/>
      <c r="C4" s="245"/>
      <c r="D4" s="245"/>
      <c r="E4" s="246"/>
      <c r="F4" s="246"/>
      <c r="G4" s="245"/>
      <c r="H4" s="245"/>
      <c r="I4" s="245"/>
      <c r="J4" s="245"/>
      <c r="K4" s="245"/>
      <c r="L4" s="245"/>
    </row>
    <row r="5" spans="1:12" x14ac:dyDescent="0.2"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</row>
    <row r="6" spans="1:12" ht="14.65" customHeight="1" x14ac:dyDescent="0.2">
      <c r="A6" s="247"/>
      <c r="B6" s="248"/>
      <c r="C6" s="248"/>
      <c r="D6" s="249"/>
      <c r="E6" s="249"/>
      <c r="F6" s="249"/>
      <c r="G6" s="249"/>
      <c r="H6" s="249"/>
      <c r="I6" s="250"/>
      <c r="J6" s="250"/>
      <c r="K6" s="250"/>
      <c r="L6" s="245"/>
    </row>
    <row r="7" spans="1:12" ht="48.2" customHeight="1" x14ac:dyDescent="0.2">
      <c r="A7" s="251"/>
      <c r="B7" s="534" t="s">
        <v>139</v>
      </c>
      <c r="C7" s="534"/>
      <c r="D7" s="534"/>
      <c r="E7" s="534"/>
      <c r="F7" s="534"/>
      <c r="G7" s="534"/>
      <c r="H7" s="534"/>
      <c r="I7" s="534"/>
      <c r="J7" s="534"/>
      <c r="K7" s="534"/>
      <c r="L7" s="534"/>
    </row>
    <row r="8" spans="1:12" ht="19.5" customHeight="1" x14ac:dyDescent="0.2">
      <c r="A8" s="251"/>
      <c r="B8" s="534" t="s">
        <v>248</v>
      </c>
      <c r="C8" s="534"/>
      <c r="D8" s="534"/>
      <c r="E8" s="534"/>
      <c r="F8" s="534"/>
      <c r="G8" s="534"/>
      <c r="H8" s="534"/>
      <c r="I8" s="534"/>
      <c r="J8" s="534"/>
      <c r="K8" s="534"/>
      <c r="L8" s="534"/>
    </row>
    <row r="9" spans="1:12" ht="21" customHeight="1" x14ac:dyDescent="0.2">
      <c r="A9" s="251"/>
      <c r="B9" s="534" t="s">
        <v>249</v>
      </c>
      <c r="C9" s="534"/>
      <c r="D9" s="534"/>
      <c r="E9" s="534"/>
      <c r="F9" s="534"/>
      <c r="G9" s="534"/>
      <c r="H9" s="534"/>
      <c r="I9" s="534"/>
      <c r="J9" s="534"/>
      <c r="K9" s="534"/>
      <c r="L9" s="534"/>
    </row>
    <row r="10" spans="1:12" ht="21" customHeight="1" x14ac:dyDescent="0.2">
      <c r="A10" s="251"/>
      <c r="B10" s="252"/>
      <c r="C10" s="252"/>
      <c r="D10" s="252"/>
      <c r="E10" s="253"/>
      <c r="F10" s="253"/>
      <c r="G10" s="252"/>
      <c r="H10" s="252"/>
      <c r="I10" s="254"/>
      <c r="J10" s="254"/>
      <c r="K10" s="255"/>
      <c r="L10" s="252"/>
    </row>
    <row r="11" spans="1:12" ht="19.5" customHeight="1" x14ac:dyDescent="0.2">
      <c r="A11" s="251"/>
      <c r="B11" s="534" t="s">
        <v>140</v>
      </c>
      <c r="C11" s="534"/>
      <c r="D11" s="534"/>
      <c r="E11" s="534"/>
      <c r="F11" s="534"/>
      <c r="G11" s="534"/>
      <c r="H11" s="534"/>
      <c r="I11" s="534"/>
      <c r="J11" s="534"/>
      <c r="K11" s="534"/>
      <c r="L11" s="534"/>
    </row>
    <row r="12" spans="1:12" ht="16.5" customHeight="1" x14ac:dyDescent="0.2">
      <c r="A12" s="247"/>
      <c r="B12" s="256"/>
      <c r="C12" s="256"/>
      <c r="D12" s="253"/>
      <c r="E12" s="253"/>
      <c r="F12" s="253"/>
      <c r="G12" s="253"/>
      <c r="H12" s="253"/>
      <c r="I12" s="254"/>
      <c r="J12" s="254"/>
      <c r="K12" s="254"/>
      <c r="L12" s="257"/>
    </row>
    <row r="13" spans="1:12" ht="19.5" customHeight="1" x14ac:dyDescent="0.2">
      <c r="A13" s="258"/>
      <c r="B13" s="535" t="s">
        <v>190</v>
      </c>
      <c r="C13" s="536" t="s">
        <v>250</v>
      </c>
      <c r="D13" s="536"/>
      <c r="E13" s="536"/>
      <c r="F13" s="537" t="s">
        <v>251</v>
      </c>
      <c r="G13" s="537"/>
      <c r="H13" s="537"/>
      <c r="I13" s="538" t="s">
        <v>252</v>
      </c>
      <c r="J13" s="538"/>
      <c r="K13" s="538"/>
      <c r="L13" s="537" t="s">
        <v>191</v>
      </c>
    </row>
    <row r="14" spans="1:12" ht="25.7" customHeight="1" x14ac:dyDescent="0.2">
      <c r="A14" s="258"/>
      <c r="B14" s="535"/>
      <c r="C14" s="259" t="s">
        <v>141</v>
      </c>
      <c r="D14" s="259" t="s">
        <v>142</v>
      </c>
      <c r="E14" s="259" t="s">
        <v>143</v>
      </c>
      <c r="F14" s="260" t="s">
        <v>141</v>
      </c>
      <c r="G14" s="260" t="s">
        <v>142</v>
      </c>
      <c r="H14" s="260" t="s">
        <v>143</v>
      </c>
      <c r="I14" s="259" t="s">
        <v>141</v>
      </c>
      <c r="J14" s="259" t="s">
        <v>142</v>
      </c>
      <c r="K14" s="261" t="s">
        <v>143</v>
      </c>
      <c r="L14" s="537"/>
    </row>
    <row r="15" spans="1:12" ht="14.25" customHeight="1" x14ac:dyDescent="0.2">
      <c r="A15" s="262"/>
      <c r="B15" s="263"/>
      <c r="C15" s="264"/>
      <c r="D15" s="259"/>
      <c r="E15" s="259"/>
      <c r="F15" s="265"/>
      <c r="G15" s="265"/>
      <c r="H15" s="265"/>
      <c r="I15" s="266"/>
      <c r="J15" s="266"/>
      <c r="K15" s="266"/>
      <c r="L15" s="257"/>
    </row>
    <row r="16" spans="1:12" ht="14.65" customHeight="1" x14ac:dyDescent="0.2">
      <c r="A16" s="267"/>
      <c r="B16" s="268" t="s">
        <v>192</v>
      </c>
      <c r="C16" s="269"/>
      <c r="D16" s="270"/>
      <c r="E16" s="270"/>
      <c r="F16" s="271"/>
      <c r="G16" s="271"/>
      <c r="H16" s="271"/>
      <c r="I16" s="271"/>
      <c r="J16" s="271"/>
      <c r="K16" s="271"/>
      <c r="L16" s="272"/>
    </row>
    <row r="17" spans="1:12" ht="9" customHeight="1" x14ac:dyDescent="0.2">
      <c r="A17" s="262"/>
      <c r="B17" s="263"/>
      <c r="C17" s="264"/>
      <c r="D17" s="259"/>
      <c r="E17" s="259"/>
      <c r="F17" s="265"/>
      <c r="G17" s="265"/>
      <c r="H17" s="265"/>
      <c r="I17" s="266"/>
      <c r="J17" s="266"/>
      <c r="K17" s="266"/>
      <c r="L17" s="257"/>
    </row>
    <row r="18" spans="1:12" ht="24.75" customHeight="1" x14ac:dyDescent="0.2">
      <c r="A18" s="273"/>
      <c r="B18" s="274" t="s">
        <v>193</v>
      </c>
      <c r="C18" s="275">
        <f>+[2]RENTAS!D7</f>
        <v>0.87</v>
      </c>
      <c r="D18" s="275">
        <f>+[2]RENTAS!E7</f>
        <v>1.19148936170213</v>
      </c>
      <c r="E18" s="276">
        <f t="shared" ref="E18:E52" si="0">+D18*100/C18</f>
        <v>136.95280019564714</v>
      </c>
      <c r="F18" s="277">
        <f>+[3]RENTAS!D7</f>
        <v>0.87</v>
      </c>
      <c r="G18" s="277">
        <f>+[3]RENTAS!E7</f>
        <v>0.82142857142857095</v>
      </c>
      <c r="H18" s="278">
        <f t="shared" ref="H18:H52" si="1">+G18*100/F18</f>
        <v>94.417077175697813</v>
      </c>
      <c r="I18" s="279">
        <f>+[4]RENTAS!D7</f>
        <v>0.87</v>
      </c>
      <c r="J18" s="279">
        <f>+[4]RENTAS!E7</f>
        <v>1.0566037735849101</v>
      </c>
      <c r="K18" s="278">
        <f>+J18*100/J18</f>
        <v>100</v>
      </c>
      <c r="L18" s="280">
        <f t="shared" ref="L18:L52" si="2">+(E18+H18+K18)/3</f>
        <v>110.45662579044831</v>
      </c>
    </row>
    <row r="19" spans="1:12" ht="26.45" customHeight="1" x14ac:dyDescent="0.2">
      <c r="A19" s="247"/>
      <c r="B19" s="281" t="s">
        <v>194</v>
      </c>
      <c r="C19" s="282">
        <f>+[2]RENTAS!D16/3</f>
        <v>0.73333333333333339</v>
      </c>
      <c r="D19" s="282">
        <f>+[2]RENTAS!E16/3</f>
        <v>0.76275160591293656</v>
      </c>
      <c r="E19" s="283">
        <f t="shared" si="0"/>
        <v>104.01158262449134</v>
      </c>
      <c r="F19" s="284">
        <f>+[3]RENTAS!D16/3</f>
        <v>0.73333333333333339</v>
      </c>
      <c r="G19" s="284">
        <f>+[3]RENTAS!E16/3</f>
        <v>0.77429345655191006</v>
      </c>
      <c r="H19" s="285">
        <f t="shared" si="1"/>
        <v>105.58547134798772</v>
      </c>
      <c r="I19" s="286">
        <f>+[4]RENTAS!D16/3</f>
        <v>0.73333333333333339</v>
      </c>
      <c r="J19" s="286">
        <f>+[4]RENTAS!E16/3</f>
        <v>0.75908847814422664</v>
      </c>
      <c r="K19" s="287">
        <f t="shared" ref="K19:K52" si="3">+J19*100/I19</f>
        <v>103.51206520148546</v>
      </c>
      <c r="L19" s="288">
        <f t="shared" si="2"/>
        <v>104.36970639132149</v>
      </c>
    </row>
    <row r="20" spans="1:12" ht="20.45" customHeight="1" x14ac:dyDescent="0.2">
      <c r="A20" s="289"/>
      <c r="B20" s="274" t="s">
        <v>195</v>
      </c>
      <c r="C20" s="275">
        <f>+[2]RENTAS!D23/2</f>
        <v>0.73550000000000004</v>
      </c>
      <c r="D20" s="275">
        <f>+[2]RENTAS!E23/2</f>
        <v>1.1652777777777801</v>
      </c>
      <c r="E20" s="276">
        <f t="shared" si="0"/>
        <v>158.43341642118017</v>
      </c>
      <c r="F20" s="277">
        <f>+[3]RENTAS!D23/2</f>
        <v>0.72299999999999998</v>
      </c>
      <c r="G20" s="277">
        <f>+[3]RENTAS!E23/2</f>
        <v>1.811363636363635</v>
      </c>
      <c r="H20" s="278">
        <f t="shared" si="1"/>
        <v>250.5343895385387</v>
      </c>
      <c r="I20" s="290">
        <f>+[4]RENTAS!D23/2</f>
        <v>0.94899999999999995</v>
      </c>
      <c r="J20" s="290">
        <f>+[4]RENTAS!E23/2</f>
        <v>1.168734491315135</v>
      </c>
      <c r="K20" s="278">
        <f t="shared" si="3"/>
        <v>123.1543194220374</v>
      </c>
      <c r="L20" s="280">
        <f t="shared" si="2"/>
        <v>177.37404179391876</v>
      </c>
    </row>
    <row r="21" spans="1:12" ht="27.2" customHeight="1" x14ac:dyDescent="0.2">
      <c r="A21" s="247"/>
      <c r="B21" s="281" t="s">
        <v>253</v>
      </c>
      <c r="C21" s="291">
        <f>+[2]RENTAS!D42/14</f>
        <v>1</v>
      </c>
      <c r="D21" s="291">
        <f>+[2]RENTAS!E42/14</f>
        <v>1</v>
      </c>
      <c r="E21" s="283">
        <f t="shared" si="0"/>
        <v>100</v>
      </c>
      <c r="F21" s="284">
        <f>+[3]RENTAS!D42/14</f>
        <v>1</v>
      </c>
      <c r="G21" s="284">
        <f>+[3]RENTAS!E42/14</f>
        <v>0.94860038610038566</v>
      </c>
      <c r="H21" s="285">
        <f t="shared" si="1"/>
        <v>94.860038610038572</v>
      </c>
      <c r="I21" s="292">
        <f>+[4]RENTAS!D42/14</f>
        <v>1</v>
      </c>
      <c r="J21" s="292">
        <f>+[4]RENTAS!E42/14</f>
        <v>1</v>
      </c>
      <c r="K21" s="287">
        <f t="shared" si="3"/>
        <v>100</v>
      </c>
      <c r="L21" s="288">
        <f t="shared" si="2"/>
        <v>98.286679536679529</v>
      </c>
    </row>
    <row r="22" spans="1:12" ht="27.2" customHeight="1" x14ac:dyDescent="0.2">
      <c r="A22" s="289"/>
      <c r="B22" s="293" t="s">
        <v>196</v>
      </c>
      <c r="C22" s="275">
        <f>+[2]RENTAS!D63/6</f>
        <v>0.6805500000000001</v>
      </c>
      <c r="D22" s="275">
        <f>+[2]RENTAS!E63/6</f>
        <v>0.68077777777777826</v>
      </c>
      <c r="E22" s="276">
        <f t="shared" si="0"/>
        <v>100.03346966097688</v>
      </c>
      <c r="F22" s="290">
        <f>+[3]RENTAS!D57/6</f>
        <v>0.69443333333333335</v>
      </c>
      <c r="G22" s="290">
        <f>+[3]RENTAS!E57/6</f>
        <v>0.6704636290967233</v>
      </c>
      <c r="H22" s="278">
        <f t="shared" si="1"/>
        <v>96.548307362845946</v>
      </c>
      <c r="I22" s="290">
        <f>+[4]RENTAS!D57/6</f>
        <v>0.86109999999999998</v>
      </c>
      <c r="J22" s="290">
        <f>6.2589/6</f>
        <v>1.04315</v>
      </c>
      <c r="K22" s="278">
        <f t="shared" si="3"/>
        <v>121.14156311694344</v>
      </c>
      <c r="L22" s="280">
        <f t="shared" si="2"/>
        <v>105.90778004692208</v>
      </c>
    </row>
    <row r="23" spans="1:12" ht="27.2" customHeight="1" x14ac:dyDescent="0.2">
      <c r="A23" s="294"/>
      <c r="B23" s="295" t="s">
        <v>254</v>
      </c>
      <c r="C23" s="291">
        <f>+[2]RENTAS!D82/11</f>
        <v>0.76522727272727276</v>
      </c>
      <c r="D23" s="291">
        <f>+[2]RENTAS!E82/11</f>
        <v>0.4565133170493082</v>
      </c>
      <c r="E23" s="283">
        <f t="shared" si="0"/>
        <v>59.657219929223523</v>
      </c>
      <c r="F23" s="292">
        <f>+[3]RENTAS!D76/8</f>
        <v>1.0521875000000001</v>
      </c>
      <c r="G23" s="292">
        <f>+[3]RENTAS!E76/8</f>
        <v>0.86873881932021502</v>
      </c>
      <c r="H23" s="285">
        <f t="shared" si="1"/>
        <v>82.565019953213181</v>
      </c>
      <c r="I23" s="292">
        <f>+[4]RENTAS!D76/8</f>
        <v>1.3543750000000001</v>
      </c>
      <c r="J23" s="292">
        <f>+[4]RENTAS!E76/8</f>
        <v>0.72642822534053997</v>
      </c>
      <c r="K23" s="287">
        <f t="shared" si="3"/>
        <v>53.635678843786977</v>
      </c>
      <c r="L23" s="296">
        <f t="shared" si="2"/>
        <v>65.285972908741215</v>
      </c>
    </row>
    <row r="24" spans="1:12" ht="14.85" customHeight="1" x14ac:dyDescent="0.2">
      <c r="A24" s="297"/>
      <c r="B24" s="298" t="s">
        <v>197</v>
      </c>
      <c r="C24" s="275">
        <f>+[2]RENTAS!D99/12</f>
        <v>1</v>
      </c>
      <c r="D24" s="275">
        <f>+[2]RENTAS!E99/12</f>
        <v>0.92503267973855829</v>
      </c>
      <c r="E24" s="276">
        <f t="shared" si="0"/>
        <v>92.503267973855827</v>
      </c>
      <c r="F24" s="299">
        <f>+[3]RENTAS!D93/12</f>
        <v>1</v>
      </c>
      <c r="G24" s="299">
        <f>+[3]RENTAS!E93/12</f>
        <v>0.9251671025864584</v>
      </c>
      <c r="H24" s="278">
        <f t="shared" si="1"/>
        <v>92.516710258645844</v>
      </c>
      <c r="I24" s="299">
        <f>+[4]RENTAS!D93/12</f>
        <v>0.92333333333333334</v>
      </c>
      <c r="J24" s="299">
        <f>+[4]RENTAS!E93/12</f>
        <v>1</v>
      </c>
      <c r="K24" s="276">
        <f t="shared" si="3"/>
        <v>108.30324909747293</v>
      </c>
      <c r="L24" s="300">
        <f t="shared" si="2"/>
        <v>97.774409109991538</v>
      </c>
    </row>
    <row r="25" spans="1:12" ht="27.2" customHeight="1" x14ac:dyDescent="0.2">
      <c r="A25" s="294"/>
      <c r="B25" s="295" t="s">
        <v>255</v>
      </c>
      <c r="C25" s="301">
        <f>+[2]RENTAS!D108/4</f>
        <v>0.6</v>
      </c>
      <c r="D25" s="301">
        <f>+[2]RENTAS!E108/4</f>
        <v>0.47922462648119502</v>
      </c>
      <c r="E25" s="302">
        <f t="shared" si="0"/>
        <v>79.870771080199162</v>
      </c>
      <c r="F25" s="292">
        <f>+[3]RENTAS!D101/3</f>
        <v>0.6</v>
      </c>
      <c r="G25" s="292">
        <f>+[3]RENTAS!E101/3</f>
        <v>0.62222222222222334</v>
      </c>
      <c r="H25" s="285">
        <f t="shared" si="1"/>
        <v>103.70370370370389</v>
      </c>
      <c r="I25" s="292">
        <f>+[4]RENTAS!D101/3</f>
        <v>0.83333333333333337</v>
      </c>
      <c r="J25" s="292">
        <f>+[4]RENTAS!E101/3</f>
        <v>0.90024680877821661</v>
      </c>
      <c r="K25" s="287">
        <f t="shared" si="3"/>
        <v>108.02961705338599</v>
      </c>
      <c r="L25" s="296">
        <f t="shared" si="2"/>
        <v>97.201363945763021</v>
      </c>
    </row>
    <row r="26" spans="1:12" ht="22.5" customHeight="1" x14ac:dyDescent="0.2">
      <c r="A26" s="289"/>
      <c r="B26" s="274" t="s">
        <v>198</v>
      </c>
      <c r="C26" s="303">
        <f>+[2]RENTAS!D116/3</f>
        <v>0.76666666666666661</v>
      </c>
      <c r="D26" s="303">
        <f>+[2]RENTAS!E116/3</f>
        <v>0.79609005533045341</v>
      </c>
      <c r="E26" s="304">
        <f t="shared" si="0"/>
        <v>103.83783330397219</v>
      </c>
      <c r="F26" s="290">
        <f>+[3]RENTAS!D109/3</f>
        <v>0.70000000000000007</v>
      </c>
      <c r="G26" s="290">
        <f>+[3]RENTAS!E109/3</f>
        <v>0.75474520220467001</v>
      </c>
      <c r="H26" s="278">
        <f t="shared" si="1"/>
        <v>107.8207431720957</v>
      </c>
      <c r="I26" s="290">
        <f>+[4]RENTAS!D109/3</f>
        <v>0.70000000000000007</v>
      </c>
      <c r="J26" s="290">
        <f>+[4]RENTAS!E109/3</f>
        <v>0.72541535012713665</v>
      </c>
      <c r="K26" s="305">
        <f t="shared" si="3"/>
        <v>103.63076430387666</v>
      </c>
      <c r="L26" s="306">
        <f t="shared" si="2"/>
        <v>105.09644692664818</v>
      </c>
    </row>
    <row r="27" spans="1:12" ht="14.85" customHeight="1" x14ac:dyDescent="0.2">
      <c r="A27" s="294"/>
      <c r="B27" s="295" t="s">
        <v>144</v>
      </c>
      <c r="C27" s="307">
        <f>+[2]RENTAS!D124/2</f>
        <v>1</v>
      </c>
      <c r="D27" s="307">
        <f>+[2]RENTAS!E124/2</f>
        <v>1</v>
      </c>
      <c r="E27" s="302">
        <f t="shared" si="0"/>
        <v>100</v>
      </c>
      <c r="F27" s="308">
        <f>+[3]RENTAS!D117/2</f>
        <v>1</v>
      </c>
      <c r="G27" s="308">
        <f>+[3]RENTAS!E117/2</f>
        <v>1</v>
      </c>
      <c r="H27" s="285">
        <f t="shared" si="1"/>
        <v>100</v>
      </c>
      <c r="I27" s="308">
        <f>+[4]RENTAS!D117/2</f>
        <v>1</v>
      </c>
      <c r="J27" s="308">
        <f>+[4]RENTAS!E117/2</f>
        <v>1</v>
      </c>
      <c r="K27" s="287">
        <f t="shared" si="3"/>
        <v>100</v>
      </c>
      <c r="L27" s="296">
        <f t="shared" si="2"/>
        <v>100</v>
      </c>
    </row>
    <row r="28" spans="1:12" ht="14.85" customHeight="1" x14ac:dyDescent="0.2">
      <c r="A28" s="289"/>
      <c r="B28" s="274" t="s">
        <v>199</v>
      </c>
      <c r="C28" s="309">
        <f>+[2]RENTAS!D131/2</f>
        <v>1</v>
      </c>
      <c r="D28" s="309">
        <f>+[2]RENTAS!E131/2</f>
        <v>1</v>
      </c>
      <c r="E28" s="276">
        <f t="shared" si="0"/>
        <v>100</v>
      </c>
      <c r="F28" s="310">
        <f>+[3]RENTAS!D124/2</f>
        <v>1</v>
      </c>
      <c r="G28" s="310">
        <f>+[3]RENTAS!E124/2</f>
        <v>1</v>
      </c>
      <c r="H28" s="278">
        <f t="shared" si="1"/>
        <v>100</v>
      </c>
      <c r="I28" s="310">
        <f>+[4]RENTAS!D124/2</f>
        <v>1</v>
      </c>
      <c r="J28" s="310">
        <f>+[4]RENTAS!E124/2</f>
        <v>1</v>
      </c>
      <c r="K28" s="278">
        <f t="shared" si="3"/>
        <v>100</v>
      </c>
      <c r="L28" s="280">
        <f t="shared" si="2"/>
        <v>100</v>
      </c>
    </row>
    <row r="29" spans="1:12" ht="14.85" customHeight="1" x14ac:dyDescent="0.2">
      <c r="A29" s="294"/>
      <c r="B29" s="295" t="s">
        <v>145</v>
      </c>
      <c r="C29" s="307">
        <f>+[2]RENTAS!D138/2</f>
        <v>1</v>
      </c>
      <c r="D29" s="307">
        <f>+[2]RENTAS!E138/2</f>
        <v>1</v>
      </c>
      <c r="E29" s="302">
        <f t="shared" si="0"/>
        <v>100</v>
      </c>
      <c r="F29" s="308">
        <f>+[3]RENTAS!D131/2</f>
        <v>1</v>
      </c>
      <c r="G29" s="308">
        <f>+[3]RENTAS!E131/2</f>
        <v>1</v>
      </c>
      <c r="H29" s="285">
        <f t="shared" si="1"/>
        <v>100</v>
      </c>
      <c r="I29" s="308">
        <f>+[4]RENTAS!D131/2</f>
        <v>1</v>
      </c>
      <c r="J29" s="308">
        <f>+[4]RENTAS!E131/2</f>
        <v>1</v>
      </c>
      <c r="K29" s="287">
        <f t="shared" si="3"/>
        <v>100</v>
      </c>
      <c r="L29" s="296">
        <f t="shared" si="2"/>
        <v>100</v>
      </c>
    </row>
    <row r="30" spans="1:12" ht="14.85" customHeight="1" x14ac:dyDescent="0.2">
      <c r="A30" s="289"/>
      <c r="B30" s="274" t="s">
        <v>146</v>
      </c>
      <c r="C30" s="309">
        <f>+[2]RENTAS!D145/2</f>
        <v>1</v>
      </c>
      <c r="D30" s="309">
        <f>+[2]RENTAS!E145/2</f>
        <v>1</v>
      </c>
      <c r="E30" s="276">
        <f t="shared" si="0"/>
        <v>100</v>
      </c>
      <c r="F30" s="310">
        <f>+[3]RENTAS!D138/2</f>
        <v>1</v>
      </c>
      <c r="G30" s="310">
        <f>+[3]RENTAS!E138/2</f>
        <v>1</v>
      </c>
      <c r="H30" s="278">
        <f t="shared" si="1"/>
        <v>100</v>
      </c>
      <c r="I30" s="310">
        <f>+[4]RENTAS!D138/2</f>
        <v>1</v>
      </c>
      <c r="J30" s="310">
        <f>+[4]RENTAS!E138/2</f>
        <v>1</v>
      </c>
      <c r="K30" s="278">
        <f t="shared" si="3"/>
        <v>100</v>
      </c>
      <c r="L30" s="280">
        <f t="shared" si="2"/>
        <v>100</v>
      </c>
    </row>
    <row r="31" spans="1:12" ht="14.85" customHeight="1" x14ac:dyDescent="0.2">
      <c r="A31" s="294"/>
      <c r="B31" s="295" t="s">
        <v>147</v>
      </c>
      <c r="C31" s="307">
        <f>+[2]RENTAS!D152/2</f>
        <v>1</v>
      </c>
      <c r="D31" s="307">
        <f>+[2]RENTAS!E152/2</f>
        <v>1</v>
      </c>
      <c r="E31" s="302">
        <f t="shared" si="0"/>
        <v>100</v>
      </c>
      <c r="F31" s="308">
        <f>+[3]RENTAS!D145/2</f>
        <v>1</v>
      </c>
      <c r="G31" s="308">
        <f>+[3]RENTAS!E145/2</f>
        <v>1</v>
      </c>
      <c r="H31" s="285">
        <f t="shared" si="1"/>
        <v>100</v>
      </c>
      <c r="I31" s="308">
        <f>+[4]RENTAS!D145/2</f>
        <v>1</v>
      </c>
      <c r="J31" s="308">
        <f>+[4]RENTAS!E145/2</f>
        <v>0.54999654003182996</v>
      </c>
      <c r="K31" s="287">
        <f t="shared" si="3"/>
        <v>54.999654003182997</v>
      </c>
      <c r="L31" s="296">
        <f t="shared" si="2"/>
        <v>84.99988466772767</v>
      </c>
    </row>
    <row r="32" spans="1:12" ht="14.85" customHeight="1" x14ac:dyDescent="0.2">
      <c r="A32" s="289"/>
      <c r="B32" s="274" t="s">
        <v>148</v>
      </c>
      <c r="C32" s="309">
        <f>+[2]RENTAS!D159/2</f>
        <v>1</v>
      </c>
      <c r="D32" s="309">
        <f>+[2]RENTAS!E159/2</f>
        <v>1</v>
      </c>
      <c r="E32" s="276">
        <f t="shared" si="0"/>
        <v>100</v>
      </c>
      <c r="F32" s="310">
        <f>+[3]RENTAS!D152/2</f>
        <v>1</v>
      </c>
      <c r="G32" s="310">
        <f>+[3]RENTAS!E152/2</f>
        <v>1</v>
      </c>
      <c r="H32" s="278">
        <f t="shared" si="1"/>
        <v>100</v>
      </c>
      <c r="I32" s="310">
        <f>+[4]RENTAS!D117/2</f>
        <v>1</v>
      </c>
      <c r="J32" s="310">
        <f>+[4]RENTAS!E117/2</f>
        <v>1</v>
      </c>
      <c r="K32" s="278">
        <f t="shared" si="3"/>
        <v>100</v>
      </c>
      <c r="L32" s="280">
        <f t="shared" si="2"/>
        <v>100</v>
      </c>
    </row>
    <row r="33" spans="1:12" ht="14.85" customHeight="1" x14ac:dyDescent="0.2">
      <c r="A33" s="294"/>
      <c r="B33" s="295" t="s">
        <v>256</v>
      </c>
      <c r="C33" s="307">
        <f>+[2]RENTAS!D166/2</f>
        <v>1</v>
      </c>
      <c r="D33" s="307">
        <f>+[2]RENTAS!E166/2</f>
        <v>1</v>
      </c>
      <c r="E33" s="302">
        <f t="shared" si="0"/>
        <v>100</v>
      </c>
      <c r="F33" s="308">
        <f>+[3]RENTAS!D159/2</f>
        <v>1</v>
      </c>
      <c r="G33" s="308">
        <f>+[3]RENTAS!E159/2</f>
        <v>1</v>
      </c>
      <c r="H33" s="285">
        <f t="shared" si="1"/>
        <v>100</v>
      </c>
      <c r="I33" s="308">
        <f>+[4]RENTAS!D159/2</f>
        <v>1</v>
      </c>
      <c r="J33" s="308">
        <f>+[4]RENTAS!E159/2</f>
        <v>1</v>
      </c>
      <c r="K33" s="287">
        <f t="shared" si="3"/>
        <v>100</v>
      </c>
      <c r="L33" s="296">
        <f t="shared" si="2"/>
        <v>100</v>
      </c>
    </row>
    <row r="34" spans="1:12" ht="14.85" customHeight="1" x14ac:dyDescent="0.2">
      <c r="A34" s="289"/>
      <c r="B34" s="274" t="s">
        <v>200</v>
      </c>
      <c r="C34" s="309">
        <f>3.192/7</f>
        <v>0.45600000000000002</v>
      </c>
      <c r="D34" s="309">
        <f>+[2]RENTAS!E179/7</f>
        <v>0.48374977609913289</v>
      </c>
      <c r="E34" s="276">
        <f t="shared" si="0"/>
        <v>106.08547721472212</v>
      </c>
      <c r="F34" s="310">
        <f>+[3]RENTAS!D172/6</f>
        <v>0.54533333333333334</v>
      </c>
      <c r="G34" s="310">
        <f>+[3]RENTAS!E172/6</f>
        <v>0.55962379650088334</v>
      </c>
      <c r="H34" s="278">
        <f t="shared" si="1"/>
        <v>102.62050058084658</v>
      </c>
      <c r="I34" s="310">
        <f>+[4]RENTAS!D172/6</f>
        <v>0.71916666666666673</v>
      </c>
      <c r="J34" s="310">
        <f>+[4]RENTAS!E172/6</f>
        <v>0.73332411150122667</v>
      </c>
      <c r="K34" s="278">
        <f t="shared" si="3"/>
        <v>101.96859024350775</v>
      </c>
      <c r="L34" s="280">
        <f t="shared" si="2"/>
        <v>103.55818934635882</v>
      </c>
    </row>
    <row r="35" spans="1:12" ht="14.85" customHeight="1" x14ac:dyDescent="0.2">
      <c r="A35" s="311"/>
      <c r="B35" s="312" t="s">
        <v>257</v>
      </c>
      <c r="C35" s="313">
        <f>+[2]RENTAS!D186/2</f>
        <v>1</v>
      </c>
      <c r="D35" s="313">
        <f>+[2]RENTAS!E186/2</f>
        <v>1</v>
      </c>
      <c r="E35" s="302">
        <f t="shared" si="0"/>
        <v>100</v>
      </c>
      <c r="F35" s="308">
        <f>+[3]RENTAS!D179/2</f>
        <v>1</v>
      </c>
      <c r="G35" s="308">
        <f>+[3]RENTAS!E179/2</f>
        <v>0.5</v>
      </c>
      <c r="H35" s="285">
        <f t="shared" si="1"/>
        <v>50</v>
      </c>
      <c r="I35" s="308">
        <f>+[4]RENTAS!D179/2</f>
        <v>1</v>
      </c>
      <c r="J35" s="308">
        <f>+[4]RENTAS!E179/2</f>
        <v>1</v>
      </c>
      <c r="K35" s="287">
        <f t="shared" si="3"/>
        <v>100</v>
      </c>
      <c r="L35" s="296">
        <f t="shared" si="2"/>
        <v>83.333333333333329</v>
      </c>
    </row>
    <row r="36" spans="1:12" ht="14.85" customHeight="1" x14ac:dyDescent="0.2">
      <c r="A36" s="289"/>
      <c r="B36" s="274" t="s">
        <v>201</v>
      </c>
      <c r="C36" s="275">
        <f>+[2]RENTAS!D193/2</f>
        <v>1</v>
      </c>
      <c r="D36" s="275">
        <f>+[2]RENTAS!E193/2</f>
        <v>1</v>
      </c>
      <c r="E36" s="276">
        <f t="shared" si="0"/>
        <v>100</v>
      </c>
      <c r="F36" s="314">
        <f>+[3]RENTAS!D186/2</f>
        <v>1</v>
      </c>
      <c r="G36" s="314">
        <f>+[3]RENTAS!E186/2</f>
        <v>1</v>
      </c>
      <c r="H36" s="278">
        <f t="shared" si="1"/>
        <v>100</v>
      </c>
      <c r="I36" s="314">
        <f>+[4]RENTAS!D186/2</f>
        <v>1</v>
      </c>
      <c r="J36" s="314">
        <f>+[4]RENTAS!E186/2</f>
        <v>1</v>
      </c>
      <c r="K36" s="278">
        <f t="shared" si="3"/>
        <v>100</v>
      </c>
      <c r="L36" s="280">
        <f t="shared" si="2"/>
        <v>100</v>
      </c>
    </row>
    <row r="37" spans="1:12" ht="14.85" customHeight="1" x14ac:dyDescent="0.2">
      <c r="A37" s="294"/>
      <c r="B37" s="295" t="s">
        <v>202</v>
      </c>
      <c r="C37" s="301">
        <f>+[2]RENTAS!D204/6</f>
        <v>0.875</v>
      </c>
      <c r="D37" s="301">
        <f>+[2]RENTAS!E204/6</f>
        <v>0.85444072835377172</v>
      </c>
      <c r="E37" s="302">
        <f t="shared" si="0"/>
        <v>97.650368954716768</v>
      </c>
      <c r="F37" s="315">
        <f>+[3]RENTAS!D198/6</f>
        <v>0.875</v>
      </c>
      <c r="G37" s="315">
        <f>+[3]RENTAS!E198/6</f>
        <v>0.84769865601387329</v>
      </c>
      <c r="H37" s="285">
        <f t="shared" si="1"/>
        <v>96.87984640158551</v>
      </c>
      <c r="I37" s="315">
        <f>+[4]RENTAS!D198/6</f>
        <v>0.875</v>
      </c>
      <c r="J37" s="315">
        <f>+[4]RENTAS!E198/6</f>
        <v>0.88163879598662165</v>
      </c>
      <c r="K37" s="287">
        <f t="shared" si="3"/>
        <v>100.75871954132819</v>
      </c>
      <c r="L37" s="296">
        <f t="shared" si="2"/>
        <v>98.429644965876832</v>
      </c>
    </row>
    <row r="38" spans="1:12" ht="14.85" customHeight="1" x14ac:dyDescent="0.2">
      <c r="A38" s="289"/>
      <c r="B38" s="274" t="s">
        <v>149</v>
      </c>
      <c r="C38" s="275">
        <f>+[2]RENTAS!D213/4</f>
        <v>0.9</v>
      </c>
      <c r="D38" s="275">
        <f>+[2]RENTAS!E213/4</f>
        <v>0.83419871794871747</v>
      </c>
      <c r="E38" s="276">
        <f t="shared" si="0"/>
        <v>92.688746438746392</v>
      </c>
      <c r="F38" s="314">
        <f>+[3]RENTAS!D207/4</f>
        <v>0.9</v>
      </c>
      <c r="G38" s="314">
        <f>+[3]RENTAS!E207/4</f>
        <v>0.89217948717948747</v>
      </c>
      <c r="H38" s="278">
        <f t="shared" si="1"/>
        <v>99.131054131054157</v>
      </c>
      <c r="I38" s="314">
        <f>+[4]RENTAS!D207/4</f>
        <v>0.9</v>
      </c>
      <c r="J38" s="314">
        <f>+[4]RENTAS!E207/4</f>
        <v>0.90874999999999995</v>
      </c>
      <c r="K38" s="278">
        <f t="shared" si="3"/>
        <v>100.97222222222221</v>
      </c>
      <c r="L38" s="280">
        <f t="shared" si="2"/>
        <v>97.59734093067425</v>
      </c>
    </row>
    <row r="39" spans="1:12" ht="14.85" customHeight="1" x14ac:dyDescent="0.2">
      <c r="A39" s="294"/>
      <c r="B39" s="295" t="s">
        <v>150</v>
      </c>
      <c r="C39" s="307">
        <f>+[2]RENTAS!D222/4</f>
        <v>0.9</v>
      </c>
      <c r="D39" s="307">
        <f>+[2]RENTAS!E222/4</f>
        <v>0.82392857142857245</v>
      </c>
      <c r="E39" s="302">
        <f t="shared" si="0"/>
        <v>91.547619047619165</v>
      </c>
      <c r="F39" s="308">
        <f>+[3]RENTAS!D216/4</f>
        <v>0.9</v>
      </c>
      <c r="G39" s="308">
        <f>+[3]RENTAS!E216/4</f>
        <v>0.82785714285714251</v>
      </c>
      <c r="H39" s="285">
        <f t="shared" si="1"/>
        <v>91.984126984126945</v>
      </c>
      <c r="I39" s="308">
        <f>+[4]RENTAS!D216/4</f>
        <v>0.9</v>
      </c>
      <c r="J39" s="308">
        <f>+[4]RENTAS!E216/4</f>
        <v>0.83642857142857252</v>
      </c>
      <c r="K39" s="287">
        <f t="shared" si="3"/>
        <v>92.93650793650805</v>
      </c>
      <c r="L39" s="296">
        <f t="shared" si="2"/>
        <v>92.156084656084715</v>
      </c>
    </row>
    <row r="40" spans="1:12" ht="14.85" customHeight="1" x14ac:dyDescent="0.2">
      <c r="A40" s="289"/>
      <c r="B40" s="274" t="s">
        <v>151</v>
      </c>
      <c r="C40" s="303">
        <f>+[2]RENTAS!D231/4</f>
        <v>0.9</v>
      </c>
      <c r="D40" s="303">
        <f>+[2]RENTAS!E231/4</f>
        <v>0.93564814814814745</v>
      </c>
      <c r="E40" s="276">
        <f t="shared" si="0"/>
        <v>103.96090534979415</v>
      </c>
      <c r="F40" s="314">
        <f>+[3]RENTAS!D225/4</f>
        <v>0.875</v>
      </c>
      <c r="G40" s="314">
        <f>+[3]RENTAS!E225/4</f>
        <v>0.9215277777777775</v>
      </c>
      <c r="H40" s="278">
        <f t="shared" si="1"/>
        <v>105.31746031746027</v>
      </c>
      <c r="I40" s="314">
        <f>+[4]RENTAS!D225/4</f>
        <v>0.875</v>
      </c>
      <c r="J40" s="314">
        <f>+[4]RENTAS!E225/4</f>
        <v>1.1791666666666676</v>
      </c>
      <c r="K40" s="278">
        <f t="shared" si="3"/>
        <v>134.76190476190487</v>
      </c>
      <c r="L40" s="280">
        <f t="shared" si="2"/>
        <v>114.68009014305311</v>
      </c>
    </row>
    <row r="41" spans="1:12" ht="14.85" customHeight="1" x14ac:dyDescent="0.2">
      <c r="A41" s="294"/>
      <c r="B41" s="295" t="s">
        <v>152</v>
      </c>
      <c r="C41" s="301">
        <f>+[2]RENTAS!D243/7</f>
        <v>0.57999999999999996</v>
      </c>
      <c r="D41" s="301">
        <f>+[2]RENTAS!E243/7</f>
        <v>0.58398268398268427</v>
      </c>
      <c r="E41" s="302">
        <f t="shared" si="0"/>
        <v>100.68666965218695</v>
      </c>
      <c r="F41" s="308">
        <f>+[3]RENTAS!D238/6</f>
        <v>0.67666666666666664</v>
      </c>
      <c r="G41" s="308">
        <f>+[3]RENTAS!E238/6</f>
        <v>0.54162637657802837</v>
      </c>
      <c r="H41" s="285">
        <f t="shared" si="1"/>
        <v>80.043306883452473</v>
      </c>
      <c r="I41" s="308">
        <f>4.25/6</f>
        <v>0.70833333333333337</v>
      </c>
      <c r="J41" s="308">
        <f>4.2722/6</f>
        <v>0.7120333333333333</v>
      </c>
      <c r="K41" s="287">
        <f t="shared" si="3"/>
        <v>100.52235294117646</v>
      </c>
      <c r="L41" s="296">
        <f t="shared" si="2"/>
        <v>93.750776492271953</v>
      </c>
    </row>
    <row r="42" spans="1:12" ht="14.85" customHeight="1" x14ac:dyDescent="0.2">
      <c r="A42" s="289"/>
      <c r="B42" s="274" t="s">
        <v>203</v>
      </c>
      <c r="C42" s="275">
        <f>+[2]RENTAS!D250/2</f>
        <v>0.75</v>
      </c>
      <c r="D42" s="275">
        <f>+[2]RENTAS!E250/2</f>
        <v>0.75</v>
      </c>
      <c r="E42" s="276">
        <f t="shared" si="0"/>
        <v>100</v>
      </c>
      <c r="F42" s="314">
        <f>+[3]RENTAS!D245/2</f>
        <v>0.75</v>
      </c>
      <c r="G42" s="314">
        <f>+[3]RENTAS!E245/2</f>
        <v>0.75</v>
      </c>
      <c r="H42" s="278">
        <f t="shared" si="1"/>
        <v>100</v>
      </c>
      <c r="I42" s="314">
        <f>+[4]RENTAS!D245/2</f>
        <v>0.75</v>
      </c>
      <c r="J42" s="314">
        <f>+[4]RENTAS!E245/2</f>
        <v>0.75</v>
      </c>
      <c r="K42" s="278">
        <f t="shared" si="3"/>
        <v>100</v>
      </c>
      <c r="L42" s="280">
        <f t="shared" si="2"/>
        <v>100</v>
      </c>
    </row>
    <row r="43" spans="1:12" ht="14.85" customHeight="1" x14ac:dyDescent="0.2">
      <c r="A43" s="294"/>
      <c r="B43" s="295" t="s">
        <v>153</v>
      </c>
      <c r="C43" s="291">
        <f>+[2]RENTAS!D257/2</f>
        <v>0.75</v>
      </c>
      <c r="D43" s="291">
        <f>+[2]RENTAS!E257/2</f>
        <v>0.75</v>
      </c>
      <c r="E43" s="302">
        <f t="shared" si="0"/>
        <v>100</v>
      </c>
      <c r="F43" s="315">
        <f>+[3]RENTAS!D252/2</f>
        <v>0.8</v>
      </c>
      <c r="G43" s="315">
        <f>+[3]RENTAS!E252/2</f>
        <v>0.75</v>
      </c>
      <c r="H43" s="285">
        <f t="shared" si="1"/>
        <v>93.75</v>
      </c>
      <c r="I43" s="315">
        <f>+[4]RENTAS!D252/2</f>
        <v>0.8</v>
      </c>
      <c r="J43" s="315">
        <f>+[4]RENTAS!E252/2</f>
        <v>0.75</v>
      </c>
      <c r="K43" s="287">
        <f t="shared" si="3"/>
        <v>93.75</v>
      </c>
      <c r="L43" s="296">
        <f t="shared" si="2"/>
        <v>95.833333333333329</v>
      </c>
    </row>
    <row r="44" spans="1:12" ht="14.85" customHeight="1" x14ac:dyDescent="0.2">
      <c r="A44" s="289"/>
      <c r="B44" s="274" t="s">
        <v>154</v>
      </c>
      <c r="C44" s="275">
        <f>+[2]RENTAS!D263/2</f>
        <v>0.75</v>
      </c>
      <c r="D44" s="275">
        <f>+[2]RENTAS!E263/2</f>
        <v>0.75</v>
      </c>
      <c r="E44" s="276">
        <f t="shared" si="0"/>
        <v>100</v>
      </c>
      <c r="F44" s="314">
        <f>+[3]RENTAS!D258/2</f>
        <v>0.75</v>
      </c>
      <c r="G44" s="314">
        <f>+[3]RENTAS!E258/2</f>
        <v>0.75</v>
      </c>
      <c r="H44" s="278">
        <f t="shared" si="1"/>
        <v>100</v>
      </c>
      <c r="I44" s="314">
        <f>+[4]RENTAS!D258/2</f>
        <v>0.75</v>
      </c>
      <c r="J44" s="314">
        <f>+[4]RENTAS!E258/2</f>
        <v>0.75</v>
      </c>
      <c r="K44" s="278">
        <f t="shared" si="3"/>
        <v>100</v>
      </c>
      <c r="L44" s="280">
        <f t="shared" si="2"/>
        <v>100</v>
      </c>
    </row>
    <row r="45" spans="1:12" ht="14.85" customHeight="1" x14ac:dyDescent="0.2">
      <c r="A45" s="294"/>
      <c r="B45" s="295" t="s">
        <v>155</v>
      </c>
      <c r="C45" s="291">
        <f>+[2]RENTAS!D270/2</f>
        <v>0.75</v>
      </c>
      <c r="D45" s="291">
        <f>+[2]RENTAS!E270/2</f>
        <v>0.75</v>
      </c>
      <c r="E45" s="302">
        <f t="shared" si="0"/>
        <v>100</v>
      </c>
      <c r="F45" s="315">
        <f>+[3]RENTAS!D265/2</f>
        <v>0.75</v>
      </c>
      <c r="G45" s="315">
        <f>+[3]RENTAS!E265/2</f>
        <v>0.75</v>
      </c>
      <c r="H45" s="285">
        <f t="shared" si="1"/>
        <v>100</v>
      </c>
      <c r="I45" s="315">
        <f>+[4]RENTAS!D265/2</f>
        <v>0.75</v>
      </c>
      <c r="J45" s="315">
        <f>+[4]RENTAS!E265/2</f>
        <v>0.75</v>
      </c>
      <c r="K45" s="287">
        <f t="shared" si="3"/>
        <v>100</v>
      </c>
      <c r="L45" s="296">
        <f t="shared" si="2"/>
        <v>100</v>
      </c>
    </row>
    <row r="46" spans="1:12" ht="14.85" customHeight="1" x14ac:dyDescent="0.2">
      <c r="A46" s="289"/>
      <c r="B46" s="274" t="s">
        <v>156</v>
      </c>
      <c r="C46" s="275">
        <f>+[2]RENTAS!D277/2</f>
        <v>1</v>
      </c>
      <c r="D46" s="275">
        <f>+[2]RENTAS!E277/2</f>
        <v>1</v>
      </c>
      <c r="E46" s="276">
        <f t="shared" si="0"/>
        <v>100</v>
      </c>
      <c r="F46" s="314">
        <f>+[3]RENTAS!D272/2</f>
        <v>1</v>
      </c>
      <c r="G46" s="314">
        <f>+[3]RENTAS!E272/2</f>
        <v>1</v>
      </c>
      <c r="H46" s="278">
        <f t="shared" si="1"/>
        <v>100</v>
      </c>
      <c r="I46" s="314">
        <f>+[4]RENTAS!D272/2</f>
        <v>1</v>
      </c>
      <c r="J46" s="314">
        <f>+[4]RENTAS!E272/2</f>
        <v>1</v>
      </c>
      <c r="K46" s="278">
        <f t="shared" si="3"/>
        <v>100</v>
      </c>
      <c r="L46" s="280">
        <f t="shared" si="2"/>
        <v>100</v>
      </c>
    </row>
    <row r="47" spans="1:12" ht="14.85" customHeight="1" x14ac:dyDescent="0.2">
      <c r="A47" s="294"/>
      <c r="B47" s="295" t="s">
        <v>157</v>
      </c>
      <c r="C47" s="291">
        <f>+[2]RENTAS!D284/2</f>
        <v>0.75</v>
      </c>
      <c r="D47" s="291">
        <f>+[2]RENTAS!E284/2</f>
        <v>0.75</v>
      </c>
      <c r="E47" s="302">
        <f t="shared" si="0"/>
        <v>100</v>
      </c>
      <c r="F47" s="315">
        <f>+[3]RENTAS!D279/2</f>
        <v>0.75</v>
      </c>
      <c r="G47" s="315">
        <f>+[3]RENTAS!E279/2</f>
        <v>0.75</v>
      </c>
      <c r="H47" s="285">
        <f t="shared" si="1"/>
        <v>100</v>
      </c>
      <c r="I47" s="315">
        <f>+[4]RENTAS!D279/2</f>
        <v>0.75</v>
      </c>
      <c r="J47" s="315">
        <f>+[4]RENTAS!E279/2</f>
        <v>0.75</v>
      </c>
      <c r="K47" s="287">
        <f t="shared" si="3"/>
        <v>100</v>
      </c>
      <c r="L47" s="296">
        <f t="shared" si="2"/>
        <v>100</v>
      </c>
    </row>
    <row r="48" spans="1:12" ht="14.85" customHeight="1" x14ac:dyDescent="0.2">
      <c r="A48" s="289"/>
      <c r="B48" s="274" t="s">
        <v>158</v>
      </c>
      <c r="C48" s="309">
        <f>+[2]RENTAS!D294/4</f>
        <v>0.68964999999999999</v>
      </c>
      <c r="D48" s="309">
        <f>+[2]RENTAS!E294/4</f>
        <v>0.65093759544298502</v>
      </c>
      <c r="E48" s="276">
        <f t="shared" si="0"/>
        <v>94.386659239177135</v>
      </c>
      <c r="F48" s="310">
        <f>+[3]RENTAS!D289/5</f>
        <v>0.54986000000000002</v>
      </c>
      <c r="G48" s="310">
        <f>+[3]RENTAS!E289/5</f>
        <v>0.53493500909135594</v>
      </c>
      <c r="H48" s="278">
        <f t="shared" si="1"/>
        <v>97.285674370086184</v>
      </c>
      <c r="I48" s="310">
        <f>+[4]RENTAS!D289/5</f>
        <v>0.54986000000000002</v>
      </c>
      <c r="J48" s="310">
        <f>+[4]RENTAS!E289/5</f>
        <v>0.54118686048000408</v>
      </c>
      <c r="K48" s="278">
        <f t="shared" si="3"/>
        <v>98.422664038119535</v>
      </c>
      <c r="L48" s="280">
        <f t="shared" si="2"/>
        <v>96.698332549127613</v>
      </c>
    </row>
    <row r="49" spans="1:12" ht="14.85" customHeight="1" x14ac:dyDescent="0.2">
      <c r="A49" s="294"/>
      <c r="B49" s="295" t="s">
        <v>159</v>
      </c>
      <c r="C49" s="291">
        <f>+[2]RENTAS!D302/3</f>
        <v>0.80666666666666664</v>
      </c>
      <c r="D49" s="291">
        <f>+[2]RENTAS!E302/3</f>
        <v>0.56192620056497333</v>
      </c>
      <c r="E49" s="302">
        <f t="shared" si="0"/>
        <v>69.660272797310739</v>
      </c>
      <c r="F49" s="315">
        <f>+[3]RENTAS!D298/3</f>
        <v>0.80666666666666664</v>
      </c>
      <c r="G49" s="315">
        <f>+[3]RENTAS!E298/3</f>
        <v>0.82154882154882003</v>
      </c>
      <c r="H49" s="285">
        <f t="shared" si="1"/>
        <v>101.84489523332481</v>
      </c>
      <c r="I49" s="316">
        <f>+[4]RENTAS!D298/3</f>
        <v>0.80666666666666664</v>
      </c>
      <c r="J49" s="316">
        <f>+[4]RENTAS!E298/3</f>
        <v>0.79840754483611664</v>
      </c>
      <c r="K49" s="287">
        <f t="shared" si="3"/>
        <v>98.976141921832635</v>
      </c>
      <c r="L49" s="296">
        <f t="shared" si="2"/>
        <v>90.160436650822746</v>
      </c>
    </row>
    <row r="50" spans="1:12" ht="14.85" customHeight="1" x14ac:dyDescent="0.2">
      <c r="A50" s="289"/>
      <c r="B50" s="274" t="s">
        <v>160</v>
      </c>
      <c r="C50" s="275">
        <f>+[2]RENTAS!D309/3</f>
        <v>0.81666666666666676</v>
      </c>
      <c r="D50" s="275">
        <f>+[2]RENTAS!E309/3</f>
        <v>0.79796868387642661</v>
      </c>
      <c r="E50" s="276">
        <f t="shared" si="0"/>
        <v>97.710451086909373</v>
      </c>
      <c r="F50" s="314">
        <f>+[3]RENTAS!D305/3</f>
        <v>0.81666666666666676</v>
      </c>
      <c r="G50" s="314">
        <f>+[3]RENTAS!E305/3</f>
        <v>0.83809796073947007</v>
      </c>
      <c r="H50" s="278">
        <f t="shared" si="1"/>
        <v>102.62424009054735</v>
      </c>
      <c r="I50" s="310">
        <f>+[4]RENTAS!D305/3</f>
        <v>0.81666666666666676</v>
      </c>
      <c r="J50" s="310">
        <f>+[4]RENTAS!E305/3</f>
        <v>0.81272609819121333</v>
      </c>
      <c r="K50" s="278">
        <f t="shared" si="3"/>
        <v>99.517481411168959</v>
      </c>
      <c r="L50" s="280">
        <f t="shared" si="2"/>
        <v>99.950724196208554</v>
      </c>
    </row>
    <row r="51" spans="1:12" ht="22.5" customHeight="1" x14ac:dyDescent="0.2">
      <c r="A51" s="294"/>
      <c r="B51" s="295" t="s">
        <v>258</v>
      </c>
      <c r="C51" s="291">
        <f>+[2]RENTAS!D319/4</f>
        <v>0.53</v>
      </c>
      <c r="D51" s="291">
        <f>+[2]RENTAS!E319/4</f>
        <v>0.63975551613507997</v>
      </c>
      <c r="E51" s="302">
        <f t="shared" si="0"/>
        <v>120.70858795001509</v>
      </c>
      <c r="F51" s="308">
        <f>2.52/4</f>
        <v>0.63</v>
      </c>
      <c r="G51" s="308">
        <f>+[3]RENTAS!E321/4</f>
        <v>0.40583955425727503</v>
      </c>
      <c r="H51" s="285">
        <f t="shared" si="1"/>
        <v>64.418976866234132</v>
      </c>
      <c r="I51" s="316">
        <f>2.52/4</f>
        <v>0.63</v>
      </c>
      <c r="J51" s="317">
        <v>0.57350000000000001</v>
      </c>
      <c r="K51" s="287">
        <f t="shared" si="3"/>
        <v>91.031746031746039</v>
      </c>
      <c r="L51" s="296">
        <f t="shared" si="2"/>
        <v>92.05310361599841</v>
      </c>
    </row>
    <row r="52" spans="1:12" ht="27.2" customHeight="1" x14ac:dyDescent="0.2">
      <c r="A52" s="289"/>
      <c r="B52" s="274" t="s">
        <v>204</v>
      </c>
      <c r="C52" s="318">
        <f>+[2]RENTAS!D335/11</f>
        <v>0.38181818181818183</v>
      </c>
      <c r="D52" s="318">
        <f>+[2]RENTAS!E335/11</f>
        <v>0.36363636363636365</v>
      </c>
      <c r="E52" s="276">
        <f t="shared" si="0"/>
        <v>95.238095238095241</v>
      </c>
      <c r="F52" s="290">
        <f>+[3]RENTAS!D336/5</f>
        <v>0.86470000000000002</v>
      </c>
      <c r="G52" s="290">
        <f>+[3]RENTAS!E336/5</f>
        <v>0.82469135802469196</v>
      </c>
      <c r="H52" s="278">
        <f t="shared" si="1"/>
        <v>95.373118772370987</v>
      </c>
      <c r="I52" s="310">
        <f>+[4]RENTAS!D336/5</f>
        <v>0.82469999999999999</v>
      </c>
      <c r="J52" s="310">
        <f>+[4]RENTAS!E336/5</f>
        <v>0.82469135802469196</v>
      </c>
      <c r="K52" s="278">
        <f t="shared" si="3"/>
        <v>99.998952106789375</v>
      </c>
      <c r="L52" s="319">
        <f t="shared" si="2"/>
        <v>96.870055372418548</v>
      </c>
    </row>
    <row r="53" spans="1:12" ht="14.65" customHeight="1" x14ac:dyDescent="0.2">
      <c r="A53" s="247"/>
      <c r="B53" s="320"/>
      <c r="C53" s="321"/>
      <c r="D53" s="321"/>
      <c r="E53" s="322"/>
      <c r="F53" s="323"/>
      <c r="G53" s="323"/>
      <c r="H53" s="324"/>
      <c r="I53" s="325"/>
      <c r="J53" s="325"/>
      <c r="K53" s="326"/>
      <c r="L53" s="257"/>
    </row>
    <row r="54" spans="1:12" ht="30.75" customHeight="1" x14ac:dyDescent="0.2">
      <c r="A54" s="267"/>
      <c r="B54" s="327" t="s">
        <v>205</v>
      </c>
      <c r="C54" s="269"/>
      <c r="D54" s="328"/>
      <c r="E54" s="328"/>
      <c r="F54" s="327"/>
      <c r="G54" s="327"/>
      <c r="H54" s="327"/>
      <c r="I54" s="327"/>
      <c r="J54" s="327"/>
      <c r="K54" s="327"/>
      <c r="L54" s="272"/>
    </row>
    <row r="55" spans="1:12" ht="13.5" customHeight="1" x14ac:dyDescent="0.2">
      <c r="A55" s="247"/>
      <c r="B55" s="320"/>
      <c r="C55" s="321"/>
      <c r="D55" s="321"/>
      <c r="E55" s="322"/>
      <c r="F55" s="323"/>
      <c r="G55" s="323"/>
      <c r="H55" s="324"/>
      <c r="I55" s="325"/>
      <c r="J55" s="325"/>
      <c r="K55" s="326"/>
      <c r="L55" s="257"/>
    </row>
    <row r="56" spans="1:12" ht="14.85" customHeight="1" x14ac:dyDescent="0.2">
      <c r="A56" s="289"/>
      <c r="B56" s="274" t="s">
        <v>206</v>
      </c>
      <c r="C56" s="329">
        <f>+[2]CATASTRO!D10/3</f>
        <v>0.73333333333333339</v>
      </c>
      <c r="D56" s="329">
        <f>+[2]CATASTRO!E10/3</f>
        <v>0.75384615384615339</v>
      </c>
      <c r="E56" s="276">
        <f t="shared" ref="E56:E64" si="4">+D56*100/C56</f>
        <v>102.79720279720273</v>
      </c>
      <c r="F56" s="290">
        <f>+[5]CATASTRO!D12/3</f>
        <v>0.85333333333333339</v>
      </c>
      <c r="G56" s="290">
        <f>+[5]CATASTRO!E12/3</f>
        <v>0.85249042145594001</v>
      </c>
      <c r="H56" s="305">
        <f>+G56*100/F56</f>
        <v>99.901221264367962</v>
      </c>
      <c r="I56" s="290" t="e">
        <f>+[4]CATASTRO!D12/3</f>
        <v>#REF!</v>
      </c>
      <c r="J56" s="290" t="e">
        <f>+[4]CATASTRO!E12/3</f>
        <v>#REF!</v>
      </c>
      <c r="K56" s="278" t="e">
        <f t="shared" ref="K56:K66" si="5">+J56*100/I56</f>
        <v>#REF!</v>
      </c>
      <c r="L56" s="280" t="e">
        <f t="shared" ref="L56:L66" si="6">+(E56+H56+K56)/3</f>
        <v>#REF!</v>
      </c>
    </row>
    <row r="57" spans="1:12" ht="14.85" customHeight="1" x14ac:dyDescent="0.2">
      <c r="A57" s="247"/>
      <c r="B57" s="281" t="s">
        <v>161</v>
      </c>
      <c r="C57" s="330">
        <f>+[2]CATASTRO!D19/3</f>
        <v>0.79999999999999993</v>
      </c>
      <c r="D57" s="330">
        <f>+[2]CATASTRO!E19/3</f>
        <v>0.85606617647058669</v>
      </c>
      <c r="E57" s="302">
        <f t="shared" si="4"/>
        <v>107.00827205882335</v>
      </c>
      <c r="F57" s="316">
        <f>+[5]CATASTRO!D21/3</f>
        <v>0.79999999999999993</v>
      </c>
      <c r="G57" s="316">
        <f>+[5]CATASTRO!E21/3</f>
        <v>0.86820536932551662</v>
      </c>
      <c r="H57" s="331">
        <f>+G57*100/F57</f>
        <v>108.52567116568959</v>
      </c>
      <c r="I57" s="308" t="e">
        <f>+[4]CATASTRO!D21/3</f>
        <v>#REF!</v>
      </c>
      <c r="J57" s="308" t="e">
        <f>+[4]CATASTRO!E21/3</f>
        <v>#REF!</v>
      </c>
      <c r="K57" s="287" t="e">
        <f t="shared" si="5"/>
        <v>#REF!</v>
      </c>
      <c r="L57" s="288" t="e">
        <f t="shared" si="6"/>
        <v>#REF!</v>
      </c>
    </row>
    <row r="58" spans="1:12" ht="14.85" customHeight="1" x14ac:dyDescent="0.2">
      <c r="A58" s="289"/>
      <c r="B58" s="274" t="s">
        <v>207</v>
      </c>
      <c r="C58" s="329">
        <f>+[2]CATASTRO!D29/5</f>
        <v>0.82400000000000007</v>
      </c>
      <c r="D58" s="329">
        <f>+[2]CATASTRO!E29/5</f>
        <v>0.71896410256410204</v>
      </c>
      <c r="E58" s="276">
        <f t="shared" si="4"/>
        <v>87.252925068458978</v>
      </c>
      <c r="F58" s="290">
        <f>+[5]CATASTRO!D31/5</f>
        <v>0.82</v>
      </c>
      <c r="G58" s="290">
        <f>+[5]CATASTRO!E31/5</f>
        <v>0.82946493506493602</v>
      </c>
      <c r="H58" s="305">
        <f>+G58*100/F58</f>
        <v>101.15426037377269</v>
      </c>
      <c r="I58" s="290" t="e">
        <f>+[4]CATASTRO!D31/5</f>
        <v>#REF!</v>
      </c>
      <c r="J58" s="290" t="e">
        <f>+[4]CATASTRO!E31/5</f>
        <v>#REF!</v>
      </c>
      <c r="K58" s="278" t="e">
        <f t="shared" si="5"/>
        <v>#REF!</v>
      </c>
      <c r="L58" s="280" t="e">
        <f t="shared" si="6"/>
        <v>#REF!</v>
      </c>
    </row>
    <row r="59" spans="1:12" ht="14.85" customHeight="1" x14ac:dyDescent="0.2">
      <c r="A59" s="247"/>
      <c r="B59" s="281" t="s">
        <v>208</v>
      </c>
      <c r="C59" s="330">
        <f>+[2]CATASTRO!D41/7</f>
        <v>0.95000000000000007</v>
      </c>
      <c r="D59" s="330">
        <f>+[2]CATASTRO!E41/7</f>
        <v>0.98571428571428577</v>
      </c>
      <c r="E59" s="302">
        <f t="shared" si="4"/>
        <v>103.75939849624061</v>
      </c>
      <c r="F59" s="332">
        <f>+[5]CATASTRO!D43/7</f>
        <v>0.95000000000000007</v>
      </c>
      <c r="G59" s="332">
        <f>+[5]CATASTRO!E43/7</f>
        <v>0.98571428571428577</v>
      </c>
      <c r="H59" s="331">
        <f>+G59*100/F59</f>
        <v>103.75939849624061</v>
      </c>
      <c r="I59" s="292" t="e">
        <f>+[4]CATASTRO!D43/7</f>
        <v>#REF!</v>
      </c>
      <c r="J59" s="292" t="e">
        <f>+[4]CATASTRO!E43/7</f>
        <v>#REF!</v>
      </c>
      <c r="K59" s="287" t="e">
        <f t="shared" si="5"/>
        <v>#REF!</v>
      </c>
      <c r="L59" s="288" t="e">
        <f t="shared" si="6"/>
        <v>#REF!</v>
      </c>
    </row>
    <row r="60" spans="1:12" ht="14.85" customHeight="1" x14ac:dyDescent="0.2">
      <c r="A60" s="289"/>
      <c r="B60" s="274" t="s">
        <v>162</v>
      </c>
      <c r="C60" s="333">
        <f>+[2]CATASTRO!D59/13</f>
        <v>0.91923076923076918</v>
      </c>
      <c r="D60" s="333">
        <f>+[2]CATASTRO!E59/13</f>
        <v>0.93949070612820773</v>
      </c>
      <c r="E60" s="304">
        <f t="shared" si="4"/>
        <v>102.20400987168787</v>
      </c>
      <c r="F60" s="290">
        <f>+[5]CATASTRO!D61/13</f>
        <v>0.93461538461538463</v>
      </c>
      <c r="G60" s="290">
        <f>+[5]CATASTRO!E61/13</f>
        <v>0.93989674897040776</v>
      </c>
      <c r="H60" s="305">
        <f>1221.87/13</f>
        <v>93.99</v>
      </c>
      <c r="I60" s="290" t="e">
        <f>+[4]CATASTRO!D61/13</f>
        <v>#REF!</v>
      </c>
      <c r="J60" s="290" t="e">
        <f>+[4]CATASTRO!E61/13</f>
        <v>#REF!</v>
      </c>
      <c r="K60" s="305" t="e">
        <f t="shared" si="5"/>
        <v>#REF!</v>
      </c>
      <c r="L60" s="306" t="e">
        <f t="shared" si="6"/>
        <v>#REF!</v>
      </c>
    </row>
    <row r="61" spans="1:12" ht="14.85" customHeight="1" x14ac:dyDescent="0.2">
      <c r="A61" s="247"/>
      <c r="B61" s="281" t="s">
        <v>152</v>
      </c>
      <c r="C61" s="330">
        <f>+[2]CATASTRO!D73/9</f>
        <v>0.93777777777777771</v>
      </c>
      <c r="D61" s="330">
        <f>+[2]CATASTRO!E73/9</f>
        <v>0.86684880900340333</v>
      </c>
      <c r="E61" s="302">
        <f t="shared" si="4"/>
        <v>92.436484372400841</v>
      </c>
      <c r="F61" s="332">
        <f>+[5]CATASTRO!D75/9</f>
        <v>0.94333333333333336</v>
      </c>
      <c r="G61" s="332">
        <f>+[5]CATASTRO!E75/9</f>
        <v>0.97156379328409004</v>
      </c>
      <c r="H61" s="285">
        <f t="shared" ref="H61:H66" si="7">+G61*100/F61</f>
        <v>102.9926282633311</v>
      </c>
      <c r="I61" s="292" t="e">
        <f>+[4]CATASTRO!D75/9</f>
        <v>#REF!</v>
      </c>
      <c r="J61" s="292" t="e">
        <f>+[4]CATASTRO!E75/9</f>
        <v>#REF!</v>
      </c>
      <c r="K61" s="287" t="e">
        <f t="shared" si="5"/>
        <v>#REF!</v>
      </c>
      <c r="L61" s="288" t="e">
        <f t="shared" si="6"/>
        <v>#REF!</v>
      </c>
    </row>
    <row r="62" spans="1:12" ht="14.85" customHeight="1" x14ac:dyDescent="0.2">
      <c r="A62" s="289"/>
      <c r="B62" s="274" t="s">
        <v>163</v>
      </c>
      <c r="C62" s="329">
        <f>+[2]CATASTRO!D81/3</f>
        <v>1</v>
      </c>
      <c r="D62" s="329">
        <f>+[2]CATASTRO!E81/3</f>
        <v>0.96397803870406662</v>
      </c>
      <c r="E62" s="276">
        <f t="shared" si="4"/>
        <v>96.397803870406662</v>
      </c>
      <c r="F62" s="290">
        <f>+[5]CATASTRO!D83/3</f>
        <v>1</v>
      </c>
      <c r="G62" s="290">
        <f>+[5]CATASTRO!E83/3</f>
        <v>0.97045609004991007</v>
      </c>
      <c r="H62" s="278">
        <f t="shared" si="7"/>
        <v>97.045609004991007</v>
      </c>
      <c r="I62" s="290" t="e">
        <f>+[4]CATASTRO!D83/3</f>
        <v>#REF!</v>
      </c>
      <c r="J62" s="290" t="e">
        <f>+[4]CATASTRO!E83/3</f>
        <v>#REF!</v>
      </c>
      <c r="K62" s="278" t="e">
        <f t="shared" si="5"/>
        <v>#REF!</v>
      </c>
      <c r="L62" s="280" t="e">
        <f t="shared" si="6"/>
        <v>#REF!</v>
      </c>
    </row>
    <row r="63" spans="1:12" ht="14.85" customHeight="1" x14ac:dyDescent="0.2">
      <c r="A63" s="247"/>
      <c r="B63" s="281" t="s">
        <v>164</v>
      </c>
      <c r="C63" s="330">
        <f>+[2]CATASTRO!D89/3</f>
        <v>0.78333333333333333</v>
      </c>
      <c r="D63" s="330">
        <f>+[2]CATASTRO!E89/3</f>
        <v>0.81666666666666676</v>
      </c>
      <c r="E63" s="302">
        <f t="shared" si="4"/>
        <v>104.25531914893618</v>
      </c>
      <c r="F63" s="332">
        <f>+[5]CATASTRO!D91/3</f>
        <v>0.79999999999999993</v>
      </c>
      <c r="G63" s="332">
        <f>+[5]CATASTRO!E91/3</f>
        <v>0.83333333333333337</v>
      </c>
      <c r="H63" s="285">
        <f t="shared" si="7"/>
        <v>104.16666666666669</v>
      </c>
      <c r="I63" s="292" t="e">
        <f>+[4]CATASTRO!D91/3</f>
        <v>#REF!</v>
      </c>
      <c r="J63" s="292" t="e">
        <f>+[4]CATASTRO!E91/3</f>
        <v>#REF!</v>
      </c>
      <c r="K63" s="287" t="e">
        <f t="shared" si="5"/>
        <v>#REF!</v>
      </c>
      <c r="L63" s="288" t="e">
        <f t="shared" si="6"/>
        <v>#REF!</v>
      </c>
    </row>
    <row r="64" spans="1:12" ht="14.85" customHeight="1" x14ac:dyDescent="0.2">
      <c r="A64" s="289"/>
      <c r="B64" s="274" t="s">
        <v>165</v>
      </c>
      <c r="C64" s="329">
        <f>+[2]CATASTRO!D99/5</f>
        <v>0.67999999999999994</v>
      </c>
      <c r="D64" s="329">
        <f>+[2]CATASTRO!E99/5</f>
        <v>0.58750000000000002</v>
      </c>
      <c r="E64" s="276">
        <f t="shared" si="4"/>
        <v>86.39705882352942</v>
      </c>
      <c r="F64" s="290">
        <f>+[5]CATASTRO!D101/5</f>
        <v>0.7</v>
      </c>
      <c r="G64" s="290">
        <f>+[5]CATASTRO!E101/5</f>
        <v>0.61183333333333401</v>
      </c>
      <c r="H64" s="278">
        <f t="shared" si="7"/>
        <v>87.404761904762012</v>
      </c>
      <c r="I64" s="290" t="e">
        <f>+[4]CATASTRO!D101/5</f>
        <v>#REF!</v>
      </c>
      <c r="J64" s="290" t="e">
        <f>+[4]CATASTRO!E101/5</f>
        <v>#REF!</v>
      </c>
      <c r="K64" s="278" t="e">
        <f t="shared" si="5"/>
        <v>#REF!</v>
      </c>
      <c r="L64" s="280" t="e">
        <f t="shared" si="6"/>
        <v>#REF!</v>
      </c>
    </row>
    <row r="65" spans="1:12" ht="14.85" customHeight="1" x14ac:dyDescent="0.2">
      <c r="A65" s="247"/>
      <c r="B65" s="281" t="s">
        <v>166</v>
      </c>
      <c r="C65" s="291">
        <f>+[2]CATASTRO!D108</f>
        <v>0</v>
      </c>
      <c r="D65" s="291">
        <f>+[2]CATASTRO!E108</f>
        <v>0</v>
      </c>
      <c r="E65" s="302">
        <v>0</v>
      </c>
      <c r="F65" s="332">
        <f>+[5]CATASTRO!D110/4</f>
        <v>0.3775</v>
      </c>
      <c r="G65" s="332">
        <f>+[5]CATASTRO!E110/4</f>
        <v>0.375</v>
      </c>
      <c r="H65" s="285">
        <f t="shared" si="7"/>
        <v>99.337748344370866</v>
      </c>
      <c r="I65" s="292" t="e">
        <f>+[4]CATASTRO!D111/4</f>
        <v>#REF!</v>
      </c>
      <c r="J65" s="292" t="e">
        <f>+[4]CATASTRO!E111/4</f>
        <v>#REF!</v>
      </c>
      <c r="K65" s="287" t="e">
        <f t="shared" si="5"/>
        <v>#REF!</v>
      </c>
      <c r="L65" s="288" t="e">
        <f t="shared" si="6"/>
        <v>#REF!</v>
      </c>
    </row>
    <row r="66" spans="1:12" ht="14.85" customHeight="1" x14ac:dyDescent="0.2">
      <c r="A66" s="334"/>
      <c r="B66" s="274" t="s">
        <v>209</v>
      </c>
      <c r="C66" s="275">
        <f>+[2]CATASTRO!D116/2</f>
        <v>0.9</v>
      </c>
      <c r="D66" s="275">
        <f>+[2]CATASTRO!E116/2</f>
        <v>0.95</v>
      </c>
      <c r="E66" s="276">
        <f>+D66*100/C66</f>
        <v>105.55555555555556</v>
      </c>
      <c r="F66" s="290">
        <f>+[5]CATASTRO!D119/2</f>
        <v>0.9</v>
      </c>
      <c r="G66" s="290">
        <f>+[5]CATASTRO!E119/2</f>
        <v>0.95</v>
      </c>
      <c r="H66" s="278">
        <f t="shared" si="7"/>
        <v>105.55555555555556</v>
      </c>
      <c r="I66" s="290" t="e">
        <f>+[4]CATASTRO!D119/2</f>
        <v>#REF!</v>
      </c>
      <c r="J66" s="290" t="e">
        <f>+[4]CATASTRO!E119/2</f>
        <v>#REF!</v>
      </c>
      <c r="K66" s="278" t="e">
        <f t="shared" si="5"/>
        <v>#REF!</v>
      </c>
      <c r="L66" s="280" t="e">
        <f t="shared" si="6"/>
        <v>#REF!</v>
      </c>
    </row>
    <row r="67" spans="1:12" ht="14.65" customHeight="1" x14ac:dyDescent="0.2">
      <c r="A67" s="247"/>
      <c r="B67" s="320"/>
      <c r="C67" s="321"/>
      <c r="D67" s="335"/>
      <c r="E67" s="336"/>
      <c r="F67" s="337"/>
      <c r="G67" s="337"/>
      <c r="H67" s="338"/>
      <c r="I67" s="339"/>
      <c r="J67" s="339"/>
      <c r="K67" s="340"/>
      <c r="L67" s="257"/>
    </row>
    <row r="68" spans="1:12" ht="27.75" customHeight="1" x14ac:dyDescent="0.2">
      <c r="A68" s="341"/>
      <c r="B68" s="327" t="s">
        <v>210</v>
      </c>
      <c r="C68" s="269"/>
      <c r="D68" s="328"/>
      <c r="E68" s="328"/>
      <c r="F68" s="327"/>
      <c r="G68" s="327"/>
      <c r="H68" s="327"/>
      <c r="I68" s="327"/>
      <c r="J68" s="327"/>
      <c r="K68" s="327"/>
      <c r="L68" s="272"/>
    </row>
    <row r="69" spans="1:12" ht="9.75" customHeight="1" x14ac:dyDescent="0.2">
      <c r="A69" s="247"/>
      <c r="B69" s="320"/>
      <c r="C69" s="321"/>
      <c r="D69" s="342"/>
      <c r="E69" s="343"/>
      <c r="F69" s="344"/>
      <c r="G69" s="344"/>
      <c r="H69" s="345"/>
      <c r="I69" s="346"/>
      <c r="J69" s="346"/>
      <c r="K69" s="347"/>
      <c r="L69" s="257"/>
    </row>
    <row r="70" spans="1:12" ht="14.85" customHeight="1" x14ac:dyDescent="0.2">
      <c r="A70" s="247"/>
      <c r="B70" s="281" t="s">
        <v>167</v>
      </c>
      <c r="C70" s="291">
        <f>+[2]REGALIAS!D11/3</f>
        <v>0.96333333333333337</v>
      </c>
      <c r="D70" s="291">
        <f>+[2]REGALIAS!E11/3</f>
        <v>1.0382165605095535</v>
      </c>
      <c r="E70" s="302">
        <f>+D70*100/C70</f>
        <v>107.77334538161453</v>
      </c>
      <c r="F70" s="332">
        <f>+[5]REGALIAS!D11/3</f>
        <v>0.96333333333333337</v>
      </c>
      <c r="G70" s="332">
        <f>+[5]REGALIAS!E11/3</f>
        <v>0.96067415730337002</v>
      </c>
      <c r="H70" s="285">
        <f>+G70*100/F70</f>
        <v>99.72396096574775</v>
      </c>
      <c r="I70" s="292" t="e">
        <f>+[4]REGALIAS!D11/3</f>
        <v>#REF!</v>
      </c>
      <c r="J70" s="292" t="e">
        <f>+[4]REGALIAS!E11/3</f>
        <v>#REF!</v>
      </c>
      <c r="K70" s="287" t="e">
        <f>+J70*100/I70</f>
        <v>#REF!</v>
      </c>
      <c r="L70" s="288" t="e">
        <f>+(E70+H70+K70)/3</f>
        <v>#REF!</v>
      </c>
    </row>
    <row r="71" spans="1:12" ht="14.85" customHeight="1" x14ac:dyDescent="0.2">
      <c r="A71" s="289"/>
      <c r="B71" s="274" t="s">
        <v>168</v>
      </c>
      <c r="C71" s="275">
        <f>+[2]REGALIAS!D19/3</f>
        <v>0.83000000000000007</v>
      </c>
      <c r="D71" s="275">
        <f>+[2]REGALIAS!E19/3</f>
        <v>0.80801487935582006</v>
      </c>
      <c r="E71" s="276">
        <f>+D71*100/C71</f>
        <v>97.351190283833731</v>
      </c>
      <c r="F71" s="290">
        <f>+[5]REGALIAS!D19/3</f>
        <v>0.83000000000000007</v>
      </c>
      <c r="G71" s="290">
        <f>+[5]REGALIAS!E19/3</f>
        <v>0.81515773649867673</v>
      </c>
      <c r="H71" s="278">
        <f>+G71*100/F71</f>
        <v>98.211775481768271</v>
      </c>
      <c r="I71" s="290" t="e">
        <f>+[4]REGALIAS!D19/3</f>
        <v>#REF!</v>
      </c>
      <c r="J71" s="290" t="e">
        <f>+[4]REGALIAS!E19/3</f>
        <v>#REF!</v>
      </c>
      <c r="K71" s="278" t="e">
        <f>+J71*100/I71</f>
        <v>#REF!</v>
      </c>
      <c r="L71" s="280" t="e">
        <f>+(E71+H71+K71)/3</f>
        <v>#REF!</v>
      </c>
    </row>
    <row r="72" spans="1:12" ht="12.75" customHeight="1" x14ac:dyDescent="0.2">
      <c r="A72" s="247"/>
      <c r="B72" s="348"/>
      <c r="C72" s="321"/>
      <c r="D72" s="349"/>
      <c r="E72" s="350"/>
      <c r="F72" s="348"/>
      <c r="G72" s="348"/>
      <c r="H72" s="351"/>
      <c r="I72" s="352"/>
      <c r="J72" s="352"/>
      <c r="K72" s="353"/>
      <c r="L72" s="256"/>
    </row>
    <row r="73" spans="1:12" ht="26.25" customHeight="1" x14ac:dyDescent="0.2">
      <c r="A73" s="341"/>
      <c r="B73" s="354" t="s">
        <v>169</v>
      </c>
      <c r="C73" s="355"/>
      <c r="D73" s="356"/>
      <c r="E73" s="356"/>
      <c r="F73" s="357"/>
      <c r="G73" s="357"/>
      <c r="H73" s="357"/>
      <c r="I73" s="357"/>
      <c r="J73" s="357"/>
      <c r="K73" s="357"/>
      <c r="L73" s="272"/>
    </row>
    <row r="74" spans="1:12" ht="11.25" customHeight="1" x14ac:dyDescent="0.2">
      <c r="A74" s="247"/>
      <c r="B74" s="358"/>
      <c r="C74" s="245"/>
      <c r="D74" s="321"/>
      <c r="E74" s="336"/>
      <c r="F74" s="337"/>
      <c r="G74" s="337"/>
      <c r="H74" s="338"/>
      <c r="I74" s="339"/>
      <c r="J74" s="339"/>
      <c r="K74" s="340"/>
      <c r="L74" s="257"/>
    </row>
    <row r="75" spans="1:12" ht="14.85" customHeight="1" x14ac:dyDescent="0.2">
      <c r="A75" s="247"/>
      <c r="B75" s="281" t="s">
        <v>170</v>
      </c>
      <c r="C75" s="359">
        <f>+[2]ADMINISTRACIÓN!D12/3</f>
        <v>0.83333333333333337</v>
      </c>
      <c r="D75" s="359">
        <f>+[2]ADMINISTRACIÓN!E12/3</f>
        <v>0.9530516431924867</v>
      </c>
      <c r="E75" s="302">
        <f>+D75*100/D75</f>
        <v>100</v>
      </c>
      <c r="F75" s="332">
        <f>+[5]ADMINISTRACIÓN!D11/3</f>
        <v>0.8666666666666667</v>
      </c>
      <c r="G75" s="332">
        <f>+[5]ADMINISTRACIÓN!E11/3</f>
        <v>0.8666666666666667</v>
      </c>
      <c r="H75" s="285">
        <f>+G75*100/F75</f>
        <v>100</v>
      </c>
      <c r="I75" s="292" t="e">
        <f>+[4]ADMINISTRACIÓN!D11/3</f>
        <v>#REF!</v>
      </c>
      <c r="J75" s="292" t="e">
        <f>+[4]ADMINISTRACIÓN!E11/3</f>
        <v>#REF!</v>
      </c>
      <c r="K75" s="287" t="e">
        <f>+J75*100/I75</f>
        <v>#REF!</v>
      </c>
      <c r="L75" s="288" t="e">
        <f>+(E75+H75+K75)/3</f>
        <v>#REF!</v>
      </c>
    </row>
    <row r="76" spans="1:12" ht="14.85" customHeight="1" x14ac:dyDescent="0.2">
      <c r="A76" s="289"/>
      <c r="B76" s="274" t="s">
        <v>211</v>
      </c>
      <c r="C76" s="333">
        <f>+[2]ADMINISTRACIÓN!D20/3</f>
        <v>0.94</v>
      </c>
      <c r="D76" s="333">
        <f>+[2]ADMINISTRACIÓN!E20/3</f>
        <v>0.97070707070706996</v>
      </c>
      <c r="E76" s="276">
        <f>+D76*100/C76</f>
        <v>103.26670964968831</v>
      </c>
      <c r="F76" s="290">
        <f>+[5]ADMINISTRACIÓN!D19/3</f>
        <v>0.94</v>
      </c>
      <c r="G76" s="290">
        <f>+[5]ADMINISTRACIÓN!E19/3</f>
        <v>0.96420581655481008</v>
      </c>
      <c r="H76" s="278">
        <f>+G76*100/F76</f>
        <v>102.57508686753299</v>
      </c>
      <c r="I76" s="290" t="e">
        <f>+[4]ADMINISTRACIÓN!D19/3</f>
        <v>#REF!</v>
      </c>
      <c r="J76" s="290" t="e">
        <f>+[4]ADMINISTRACIÓN!E19/3</f>
        <v>#REF!</v>
      </c>
      <c r="K76" s="278" t="e">
        <f>+J76*100/I76</f>
        <v>#REF!</v>
      </c>
      <c r="L76" s="280" t="e">
        <f>+(E76+H76+K76)/3</f>
        <v>#REF!</v>
      </c>
    </row>
    <row r="77" spans="1:12" ht="14.85" customHeight="1" x14ac:dyDescent="0.2">
      <c r="A77" s="247"/>
      <c r="B77" s="281" t="s">
        <v>171</v>
      </c>
      <c r="C77" s="291">
        <f>+[2]ADMINISTRACIÓN!D31/4</f>
        <v>0.91249999999999998</v>
      </c>
      <c r="D77" s="291">
        <f>+[2]ADMINISTRACIÓN!E31/4</f>
        <v>0.90178571428571497</v>
      </c>
      <c r="E77" s="302">
        <f>+D77*100/C77</f>
        <v>98.825831702544107</v>
      </c>
      <c r="F77" s="332">
        <f>+[5]ADMINISTRACIÓN!D28/4</f>
        <v>0.91249999999999998</v>
      </c>
      <c r="G77" s="332">
        <f>+[5]ADMINISTRACIÓN!E28/4</f>
        <v>0.66428571428571503</v>
      </c>
      <c r="H77" s="285">
        <f>+G77*100/F77</f>
        <v>72.798434442270135</v>
      </c>
      <c r="I77" s="292" t="e">
        <f>+[4]ADMINISTRACIÓN!D28/4</f>
        <v>#REF!</v>
      </c>
      <c r="J77" s="292" t="e">
        <f>+[4]ADMINISTRACIÓN!E28/4</f>
        <v>#REF!</v>
      </c>
      <c r="K77" s="287" t="e">
        <f>+J77*100/I77</f>
        <v>#REF!</v>
      </c>
      <c r="L77" s="288" t="e">
        <f>+(E77+H77+K77)/3</f>
        <v>#REF!</v>
      </c>
    </row>
    <row r="78" spans="1:12" ht="14.85" customHeight="1" x14ac:dyDescent="0.2">
      <c r="A78" s="289"/>
      <c r="B78" s="274" t="s">
        <v>172</v>
      </c>
      <c r="C78" s="275">
        <f>+[2]ADMINISTRACIÓN!D38/2</f>
        <v>0.51385000000000003</v>
      </c>
      <c r="D78" s="275">
        <f>+[2]ADMINISTRACIÓN!E38/2</f>
        <v>0.51388888888888995</v>
      </c>
      <c r="E78" s="276">
        <f>+D78*100/C78</f>
        <v>100.00756814029189</v>
      </c>
      <c r="F78" s="290">
        <f>+[5]ADMINISTRACIÓN!D35/2</f>
        <v>0.51385000000000003</v>
      </c>
      <c r="G78" s="290">
        <f>+[5]ADMINISTRACIÓN!E35/2</f>
        <v>0.51388888888888995</v>
      </c>
      <c r="H78" s="278">
        <f>+G78*100/F78</f>
        <v>100.00756814029189</v>
      </c>
      <c r="I78" s="290" t="e">
        <f>+[4]ADMINISTRACIÓN!D35/2</f>
        <v>#REF!</v>
      </c>
      <c r="J78" s="290" t="e">
        <f>+[4]ADMINISTRACIÓN!E35/2</f>
        <v>#REF!</v>
      </c>
      <c r="K78" s="278" t="e">
        <f>+J78*100/I78</f>
        <v>#REF!</v>
      </c>
      <c r="L78" s="280" t="e">
        <f>+(E78+H78+K78)/3</f>
        <v>#REF!</v>
      </c>
    </row>
    <row r="79" spans="1:12" ht="14.85" customHeight="1" x14ac:dyDescent="0.2">
      <c r="A79" s="247"/>
      <c r="B79" s="360" t="s">
        <v>212</v>
      </c>
      <c r="C79" s="313">
        <f>+[2]ADMINISTRACIÓN!D47/4</f>
        <v>0.95</v>
      </c>
      <c r="D79" s="313">
        <f>+[2]ADMINISTRACIÓN!E47/4</f>
        <v>0.95</v>
      </c>
      <c r="E79" s="302">
        <f>+D79*100/C79</f>
        <v>100</v>
      </c>
      <c r="F79" s="316">
        <f>+[5]ADMINISTRACIÓN!D44/4</f>
        <v>0.95</v>
      </c>
      <c r="G79" s="316">
        <f>+[5]ADMINISTRACIÓN!E44/4</f>
        <v>0.95</v>
      </c>
      <c r="H79" s="285">
        <f>+G79*100/F79</f>
        <v>100</v>
      </c>
      <c r="I79" s="308" t="e">
        <f>+[4]ADMINISTRACIÓN!D44/4</f>
        <v>#REF!</v>
      </c>
      <c r="J79" s="308" t="e">
        <f>+[4]ADMINISTRACIÓN!E44/4</f>
        <v>#REF!</v>
      </c>
      <c r="K79" s="287" t="e">
        <f>+J79*100/I79</f>
        <v>#REF!</v>
      </c>
      <c r="L79" s="288" t="e">
        <f>+(E79+H79+K79)/3</f>
        <v>#REF!</v>
      </c>
    </row>
    <row r="80" spans="1:12" ht="14.65" customHeight="1" x14ac:dyDescent="0.2">
      <c r="A80" s="247"/>
      <c r="B80" s="320"/>
      <c r="C80" s="321"/>
      <c r="D80" s="335"/>
      <c r="E80" s="336"/>
      <c r="F80" s="337"/>
      <c r="G80" s="337"/>
      <c r="H80" s="338"/>
      <c r="I80" s="339"/>
      <c r="J80" s="339"/>
      <c r="K80" s="340"/>
      <c r="L80" s="257"/>
    </row>
    <row r="81" spans="1:12" ht="27.2" customHeight="1" x14ac:dyDescent="0.2">
      <c r="A81" s="341"/>
      <c r="B81" s="354" t="s">
        <v>173</v>
      </c>
      <c r="C81" s="355"/>
      <c r="D81" s="361"/>
      <c r="E81" s="362"/>
      <c r="F81" s="363"/>
      <c r="G81" s="363"/>
      <c r="H81" s="364"/>
      <c r="I81" s="363"/>
      <c r="J81" s="363"/>
      <c r="K81" s="364"/>
      <c r="L81" s="272"/>
    </row>
    <row r="82" spans="1:12" ht="12" customHeight="1" x14ac:dyDescent="0.2">
      <c r="A82" s="247"/>
      <c r="B82" s="320"/>
      <c r="C82" s="321"/>
      <c r="D82" s="335"/>
      <c r="E82" s="336"/>
      <c r="F82" s="337"/>
      <c r="G82" s="337"/>
      <c r="H82" s="338"/>
      <c r="I82" s="339"/>
      <c r="J82" s="339"/>
      <c r="K82" s="340"/>
      <c r="L82" s="257"/>
    </row>
    <row r="83" spans="1:12" ht="31.5" customHeight="1" x14ac:dyDescent="0.2">
      <c r="A83" s="289"/>
      <c r="B83" s="274" t="s">
        <v>213</v>
      </c>
      <c r="C83" s="275">
        <f>+[2]LEGALES!D8/2</f>
        <v>0.55000000000000004</v>
      </c>
      <c r="D83" s="275">
        <f>+[2]LEGALES!E8/2</f>
        <v>0.54761904761905</v>
      </c>
      <c r="E83" s="276">
        <f>+D83*100/C83</f>
        <v>99.567099567099987</v>
      </c>
      <c r="F83" s="290">
        <f>+[5]LEGALES!D9/2</f>
        <v>0.55000000000000004</v>
      </c>
      <c r="G83" s="290">
        <f>+[5]LEGALES!E9/2</f>
        <v>0.55208333333333504</v>
      </c>
      <c r="H83" s="278">
        <f>+G83*100/F83</f>
        <v>100.37878787878819</v>
      </c>
      <c r="I83" s="290" t="e">
        <f>+[4]LEGALES!D9/2</f>
        <v>#REF!</v>
      </c>
      <c r="J83" s="290" t="e">
        <f>+[4]LEGALES!E9/2</f>
        <v>#REF!</v>
      </c>
      <c r="K83" s="278" t="e">
        <f>+J83*100/I83</f>
        <v>#REF!</v>
      </c>
      <c r="L83" s="280" t="e">
        <f>+(E83+H83+K83)/3</f>
        <v>#REF!</v>
      </c>
    </row>
    <row r="84" spans="1:12" ht="14.85" customHeight="1" x14ac:dyDescent="0.2">
      <c r="A84" s="247"/>
      <c r="B84" s="281" t="s">
        <v>174</v>
      </c>
      <c r="C84" s="291">
        <f>+[2]LEGALES!D18/5</f>
        <v>0.02</v>
      </c>
      <c r="D84" s="291">
        <f>+[2]LEGALES!E18/5</f>
        <v>2.0270270270270199E-2</v>
      </c>
      <c r="E84" s="302">
        <f>+D84*100/C84</f>
        <v>101.35135135135098</v>
      </c>
      <c r="F84" s="332">
        <f>+[5]LEGALES!D19/2</f>
        <v>0.55000000000000004</v>
      </c>
      <c r="G84" s="332">
        <f>+[5]LEGALES!E19/2</f>
        <v>0.54891304347825998</v>
      </c>
      <c r="H84" s="285">
        <f>+G84*100/F84</f>
        <v>99.802371541501813</v>
      </c>
      <c r="I84" s="292" t="e">
        <f>+[4]LEGALES!D19/2</f>
        <v>#REF!</v>
      </c>
      <c r="J84" s="292" t="e">
        <f>+[4]LEGALES!E19/2</f>
        <v>#REF!</v>
      </c>
      <c r="K84" s="287" t="e">
        <f>+J84*100/I84</f>
        <v>#REF!</v>
      </c>
      <c r="L84" s="288" t="e">
        <f>+(E84+H84+K84)/3</f>
        <v>#REF!</v>
      </c>
    </row>
    <row r="85" spans="1:12" ht="14.85" customHeight="1" x14ac:dyDescent="0.2">
      <c r="A85" s="365"/>
      <c r="B85" s="274" t="s">
        <v>175</v>
      </c>
      <c r="C85" s="329">
        <f>+[2]LEGALES!D27/4</f>
        <v>0.5</v>
      </c>
      <c r="D85" s="329">
        <f>+[2]LEGALES!E27/4</f>
        <v>0.72</v>
      </c>
      <c r="E85" s="276">
        <f>+D85*100/C85</f>
        <v>144</v>
      </c>
      <c r="F85" s="290">
        <f>+[5]LEGALES!D28/2</f>
        <v>0.51149999999999995</v>
      </c>
      <c r="G85" s="290">
        <f>+[5]LEGALES!E28/2</f>
        <v>0.47762790697674401</v>
      </c>
      <c r="H85" s="278">
        <f>+G85*100/F85</f>
        <v>93.377889927027198</v>
      </c>
      <c r="I85" s="290" t="e">
        <f>+[4]LEGALES!D28/2</f>
        <v>#REF!</v>
      </c>
      <c r="J85" s="290" t="e">
        <f>+[4]LEGALES!E28/2</f>
        <v>#REF!</v>
      </c>
      <c r="K85" s="278" t="e">
        <f>+J85*100/I85</f>
        <v>#REF!</v>
      </c>
      <c r="L85" s="280" t="e">
        <f>+(E85+H85+K85)/3</f>
        <v>#REF!</v>
      </c>
    </row>
    <row r="86" spans="1:12" ht="14.85" customHeight="1" x14ac:dyDescent="0.2">
      <c r="A86" s="366"/>
      <c r="B86" s="295" t="s">
        <v>176</v>
      </c>
      <c r="C86" s="330">
        <f>+[2]LEGALES!D35/3</f>
        <v>0.98333333333333339</v>
      </c>
      <c r="D86" s="330">
        <f>+[2]LEGALES!E35/3</f>
        <v>0.98484848484848342</v>
      </c>
      <c r="E86" s="302">
        <f>+D86*100/C86</f>
        <v>100.15408320493052</v>
      </c>
      <c r="F86" s="292">
        <f>+[5]LEGALES!D36/3</f>
        <v>0.98666666666666669</v>
      </c>
      <c r="G86" s="292">
        <f>+[5]LEGALES!E36/3</f>
        <v>0.9841269841269833</v>
      </c>
      <c r="H86" s="287">
        <f>+G86*100/F86</f>
        <v>99.742599742599666</v>
      </c>
      <c r="I86" s="292" t="e">
        <f>+[4]LEGALES!D36/3</f>
        <v>#REF!</v>
      </c>
      <c r="J86" s="292" t="e">
        <f>+[4]LEGALES!E36/3</f>
        <v>#REF!</v>
      </c>
      <c r="K86" s="287" t="e">
        <f>+J86*100/I86</f>
        <v>#REF!</v>
      </c>
      <c r="L86" s="296" t="e">
        <f>+(E86+H86+K86)/3</f>
        <v>#REF!</v>
      </c>
    </row>
    <row r="87" spans="1:12" ht="14.85" customHeight="1" x14ac:dyDescent="0.2">
      <c r="A87" s="365"/>
      <c r="B87" s="274" t="s">
        <v>214</v>
      </c>
      <c r="C87" s="329">
        <f>+[2]LEGALES!D44/4</f>
        <v>0.9</v>
      </c>
      <c r="D87" s="329">
        <f>+[2]LEGALES!E44/4</f>
        <v>0.70833333333333248</v>
      </c>
      <c r="E87" s="276">
        <f>+D87*100/C87</f>
        <v>78.703703703703596</v>
      </c>
      <c r="F87" s="290">
        <f>+[5]LEGALES!D45/3</f>
        <v>0.91666666666666663</v>
      </c>
      <c r="G87" s="290">
        <f>+[5]LEGALES!E45/3</f>
        <v>2.2222222222222232</v>
      </c>
      <c r="H87" s="278">
        <f>+G87*100/F87</f>
        <v>242.42424242424252</v>
      </c>
      <c r="I87" s="290" t="e">
        <f>+[4]LEGALES!D45/3</f>
        <v>#REF!</v>
      </c>
      <c r="J87" s="290" t="e">
        <f>+[4]LEGALES!E45/3</f>
        <v>#REF!</v>
      </c>
      <c r="K87" s="278" t="e">
        <f>+J87*100/I87</f>
        <v>#REF!</v>
      </c>
      <c r="L87" s="280" t="e">
        <f>+(E87+H87+K87)/3</f>
        <v>#REF!</v>
      </c>
    </row>
    <row r="88" spans="1:12" ht="14.85" customHeight="1" x14ac:dyDescent="0.2">
      <c r="A88" s="366"/>
      <c r="B88" s="295"/>
      <c r="C88" s="321"/>
      <c r="D88" s="335"/>
      <c r="E88" s="302"/>
      <c r="F88" s="367"/>
      <c r="G88" s="367"/>
      <c r="H88" s="287"/>
      <c r="I88" s="367"/>
      <c r="J88" s="367"/>
      <c r="K88" s="287"/>
      <c r="L88" s="296"/>
    </row>
    <row r="89" spans="1:12" ht="14.65" customHeight="1" x14ac:dyDescent="0.2">
      <c r="A89" s="247"/>
      <c r="B89" s="368"/>
      <c r="C89" s="321"/>
      <c r="D89" s="335"/>
      <c r="E89" s="336"/>
      <c r="F89" s="339"/>
      <c r="G89" s="339"/>
      <c r="H89" s="340"/>
      <c r="I89" s="339"/>
      <c r="J89" s="339"/>
      <c r="K89" s="340"/>
      <c r="L89" s="257"/>
    </row>
    <row r="90" spans="1:12" ht="26.25" customHeight="1" x14ac:dyDescent="0.2">
      <c r="A90" s="341"/>
      <c r="B90" s="354" t="s">
        <v>215</v>
      </c>
      <c r="C90" s="355"/>
      <c r="D90" s="361"/>
      <c r="E90" s="362"/>
      <c r="F90" s="363"/>
      <c r="G90" s="363"/>
      <c r="H90" s="364"/>
      <c r="I90" s="363"/>
      <c r="J90" s="363"/>
      <c r="K90" s="364"/>
      <c r="L90" s="272"/>
    </row>
    <row r="91" spans="1:12" ht="9" customHeight="1" x14ac:dyDescent="0.2">
      <c r="A91" s="247"/>
      <c r="B91" s="320"/>
      <c r="C91" s="321"/>
      <c r="D91" s="335"/>
      <c r="E91" s="336"/>
      <c r="F91" s="337"/>
      <c r="G91" s="337"/>
      <c r="H91" s="338"/>
      <c r="I91" s="339"/>
      <c r="J91" s="339"/>
      <c r="K91" s="340"/>
      <c r="L91" s="257"/>
    </row>
    <row r="92" spans="1:12" ht="26.25" customHeight="1" x14ac:dyDescent="0.2">
      <c r="A92" s="247"/>
      <c r="B92" s="281" t="s">
        <v>259</v>
      </c>
      <c r="C92" s="301">
        <f>+[2]INFORMÁTICA!D8/2</f>
        <v>0.96</v>
      </c>
      <c r="D92" s="301">
        <f>+[2]INFORMÁTICA!E8/2</f>
        <v>0.99193548387096997</v>
      </c>
      <c r="E92" s="302">
        <f>+D92*100/C92</f>
        <v>103.32661290322604</v>
      </c>
      <c r="F92" s="332">
        <f>+[5]INFORMÁTICA!D9/2</f>
        <v>0.96</v>
      </c>
      <c r="G92" s="332">
        <f>+[5]INFORMÁTICA!E9/2</f>
        <v>0.99193548387096997</v>
      </c>
      <c r="H92" s="285">
        <f>+G92*100/F92</f>
        <v>103.32661290322604</v>
      </c>
      <c r="I92" s="292">
        <f>+[4]INFORMÁTICA!D9/2</f>
        <v>0.96</v>
      </c>
      <c r="J92" s="292">
        <f>+[4]INFORMÁTICA!E9/2</f>
        <v>0.98904569892473004</v>
      </c>
      <c r="K92" s="287">
        <f>+J92*100/I92</f>
        <v>103.02559363799271</v>
      </c>
      <c r="L92" s="288">
        <f>+(E92+H92+K92)/3</f>
        <v>103.22627314814827</v>
      </c>
    </row>
    <row r="93" spans="1:12" ht="14.85" customHeight="1" x14ac:dyDescent="0.2">
      <c r="A93" s="289"/>
      <c r="B93" s="274" t="s">
        <v>177</v>
      </c>
      <c r="C93" s="329">
        <f>+[2]INFORMÁTICA!D16/3</f>
        <v>0.83333333333333337</v>
      </c>
      <c r="D93" s="329">
        <f>+[2]INFORMÁTICA!E16/3</f>
        <v>0.87240143369175671</v>
      </c>
      <c r="E93" s="276">
        <f>+D93*100/C93</f>
        <v>104.68817204301079</v>
      </c>
      <c r="F93" s="290">
        <f>+[5]INFORMÁTICA!D17/3</f>
        <v>0.83333333333333337</v>
      </c>
      <c r="G93" s="290">
        <f>+[5]INFORMÁTICA!E17/3</f>
        <v>0.83520923520923673</v>
      </c>
      <c r="H93" s="278">
        <f>+G93*100/F93</f>
        <v>100.2251082251084</v>
      </c>
      <c r="I93" s="290">
        <f>+[4]INFORMÁTICA!D17/3</f>
        <v>0.83333333333333337</v>
      </c>
      <c r="J93" s="290">
        <f>+[4]INFORMÁTICA!E17/3</f>
        <v>0.88933333333333342</v>
      </c>
      <c r="K93" s="278">
        <f>+J93*100/I93</f>
        <v>106.72</v>
      </c>
      <c r="L93" s="280">
        <f>+(E93+H93+K93)/3</f>
        <v>103.87776008937306</v>
      </c>
    </row>
    <row r="94" spans="1:12" ht="14.85" customHeight="1" x14ac:dyDescent="0.2">
      <c r="A94" s="294"/>
      <c r="B94" s="295" t="s">
        <v>178</v>
      </c>
      <c r="C94" s="330">
        <f>+[2]INFORMÁTICA!D23/2</f>
        <v>1</v>
      </c>
      <c r="D94" s="330">
        <f>+[2]INFORMÁTICA!E23/2</f>
        <v>1</v>
      </c>
      <c r="E94" s="302">
        <f>+D94*100/C94</f>
        <v>100</v>
      </c>
      <c r="F94" s="315">
        <f>+[5]INFORMÁTICA!D24/2</f>
        <v>0.9</v>
      </c>
      <c r="G94" s="315">
        <f>+[5]INFORMÁTICA!E24/2</f>
        <v>0.84210526315789502</v>
      </c>
      <c r="H94" s="285">
        <f>+G94*100/F94</f>
        <v>93.567251461988334</v>
      </c>
      <c r="I94" s="292">
        <f>+[4]INFORMÁTICA!D24/2</f>
        <v>1</v>
      </c>
      <c r="J94" s="292">
        <f>+[4]INFORMÁTICA!E24/2</f>
        <v>1</v>
      </c>
      <c r="K94" s="287">
        <f>+J94*100/I94</f>
        <v>100</v>
      </c>
      <c r="L94" s="296">
        <f>+(E94+H94+K94)/3</f>
        <v>97.855750487329445</v>
      </c>
    </row>
    <row r="95" spans="1:12" ht="27" customHeight="1" x14ac:dyDescent="0.2">
      <c r="A95" s="289"/>
      <c r="B95" s="274" t="s">
        <v>216</v>
      </c>
      <c r="C95" s="329">
        <f>+[2]INFORMÁTICA!D30/2</f>
        <v>0.9</v>
      </c>
      <c r="D95" s="329">
        <f>+[2]INFORMÁTICA!E30/2</f>
        <v>0.86842105263157998</v>
      </c>
      <c r="E95" s="276">
        <f>+D95*100/C95</f>
        <v>96.491228070175552</v>
      </c>
      <c r="F95" s="314">
        <f>+[5]INFORMÁTICA!D31/2</f>
        <v>1</v>
      </c>
      <c r="G95" s="314">
        <f>+[5]INFORMÁTICA!E31/2</f>
        <v>1</v>
      </c>
      <c r="H95" s="278">
        <f>+G95*100/F95</f>
        <v>100</v>
      </c>
      <c r="I95" s="314">
        <f>+[4]INFORMÁTICA!D31/2</f>
        <v>0.9</v>
      </c>
      <c r="J95" s="314">
        <f>+[4]INFORMÁTICA!E31/2</f>
        <v>0.91666666666666496</v>
      </c>
      <c r="K95" s="278">
        <f>+J95*100/I95</f>
        <v>101.85185185185166</v>
      </c>
      <c r="L95" s="280">
        <f>+(E95+H95+K95)/3</f>
        <v>99.447693307342419</v>
      </c>
    </row>
    <row r="96" spans="1:12" ht="13.7" customHeight="1" x14ac:dyDescent="0.2">
      <c r="A96" s="247"/>
      <c r="B96" s="348"/>
      <c r="C96" s="321"/>
      <c r="D96" s="349"/>
      <c r="E96" s="350"/>
      <c r="F96" s="348"/>
      <c r="G96" s="348"/>
      <c r="H96" s="351"/>
      <c r="I96" s="352"/>
      <c r="J96" s="352"/>
      <c r="K96" s="353"/>
      <c r="L96" s="257"/>
    </row>
    <row r="97" spans="1:12" ht="27.2" customHeight="1" x14ac:dyDescent="0.2">
      <c r="A97" s="341"/>
      <c r="B97" s="354" t="s">
        <v>179</v>
      </c>
      <c r="C97" s="355"/>
      <c r="D97" s="361"/>
      <c r="E97" s="362"/>
      <c r="F97" s="363"/>
      <c r="G97" s="363"/>
      <c r="H97" s="364"/>
      <c r="I97" s="363"/>
      <c r="J97" s="363"/>
      <c r="K97" s="364"/>
      <c r="L97" s="369"/>
    </row>
    <row r="98" spans="1:12" ht="10.5" customHeight="1" x14ac:dyDescent="0.2">
      <c r="A98" s="247"/>
      <c r="B98" s="358"/>
      <c r="C98" s="321"/>
      <c r="D98" s="335"/>
      <c r="E98" s="336"/>
      <c r="F98" s="337"/>
      <c r="G98" s="337"/>
      <c r="H98" s="338"/>
      <c r="I98" s="339"/>
      <c r="J98" s="339"/>
      <c r="K98" s="340"/>
      <c r="L98" s="257"/>
    </row>
    <row r="99" spans="1:12" ht="14.85" customHeight="1" x14ac:dyDescent="0.2">
      <c r="A99" s="247"/>
      <c r="B99" s="281" t="s">
        <v>180</v>
      </c>
      <c r="C99" s="330">
        <f>+[2]INSTITUCIONAL!D12/4</f>
        <v>1</v>
      </c>
      <c r="D99" s="330">
        <f>+[2]INSTITUCIONAL!E12/4</f>
        <v>1</v>
      </c>
      <c r="E99" s="302">
        <f>+D99*100/C99</f>
        <v>100</v>
      </c>
      <c r="F99" s="332">
        <f>+[5]INSTITUCIONAL!D12/5</f>
        <v>0.8</v>
      </c>
      <c r="G99" s="332">
        <f>+[5]INSTITUCIONAL!E12/5</f>
        <v>0.76</v>
      </c>
      <c r="H99" s="285">
        <f>+G99*100/F99</f>
        <v>95</v>
      </c>
      <c r="I99" s="292">
        <f>+[4]INSTITUCIONAL!D12/5</f>
        <v>0.6</v>
      </c>
      <c r="J99" s="292">
        <f>+[4]INSTITUCIONAL!E12/5</f>
        <v>0.8</v>
      </c>
      <c r="K99" s="287">
        <f>+J99*100/I99</f>
        <v>133.33333333333334</v>
      </c>
      <c r="L99" s="288">
        <f>+(E99+H99+K99)/3</f>
        <v>109.44444444444446</v>
      </c>
    </row>
    <row r="100" spans="1:12" ht="14.85" customHeight="1" x14ac:dyDescent="0.2">
      <c r="A100" s="289"/>
      <c r="B100" s="274" t="s">
        <v>181</v>
      </c>
      <c r="C100" s="329">
        <f>+[2]INSTITUCIONAL!D23/2</f>
        <v>1</v>
      </c>
      <c r="D100" s="329">
        <f>+[2]INSTITUCIONAL!E23/2</f>
        <v>1</v>
      </c>
      <c r="E100" s="276">
        <f>+D100*100/C100</f>
        <v>100</v>
      </c>
      <c r="F100" s="290">
        <f>+[5]INSTITUCIONAL!D23/3</f>
        <v>1</v>
      </c>
      <c r="G100" s="290">
        <f>+[5]INSTITUCIONAL!E23/3</f>
        <v>1</v>
      </c>
      <c r="H100" s="278">
        <f>+G100*100/F100</f>
        <v>100</v>
      </c>
      <c r="I100" s="290">
        <f>+[4]INSTITUCIONAL!D23/3</f>
        <v>1</v>
      </c>
      <c r="J100" s="290">
        <f>+[4]INSTITUCIONAL!E23/3</f>
        <v>1</v>
      </c>
      <c r="K100" s="278">
        <f>+J100*100/I100</f>
        <v>100</v>
      </c>
      <c r="L100" s="280">
        <f>+(E100+H100+K100)/3</f>
        <v>100</v>
      </c>
    </row>
    <row r="101" spans="1:12" ht="14.85" customHeight="1" x14ac:dyDescent="0.2">
      <c r="A101" s="247"/>
      <c r="B101" s="281" t="s">
        <v>182</v>
      </c>
      <c r="C101" s="330">
        <f>+[2]INSTITUCIONAL!D36</f>
        <v>1</v>
      </c>
      <c r="D101" s="330">
        <f>+[2]INSTITUCIONAL!E36</f>
        <v>1</v>
      </c>
      <c r="E101" s="302">
        <f>+D101*100/C101</f>
        <v>100</v>
      </c>
      <c r="F101" s="332">
        <f>+[5]INSTITUCIONAL!D36/1</f>
        <v>1</v>
      </c>
      <c r="G101" s="332">
        <f>+[5]INSTITUCIONAL!E36/1</f>
        <v>1</v>
      </c>
      <c r="H101" s="285">
        <f>+G101*100/F101</f>
        <v>100</v>
      </c>
      <c r="I101" s="292">
        <v>1</v>
      </c>
      <c r="J101" s="292">
        <f>+[4]INSTITUCIONAL!E36</f>
        <v>1</v>
      </c>
      <c r="K101" s="287">
        <f>+J101*100/I101</f>
        <v>100</v>
      </c>
      <c r="L101" s="288">
        <f>+(E101+H101+K101)/3</f>
        <v>100</v>
      </c>
    </row>
    <row r="102" spans="1:12" ht="14.65" customHeight="1" x14ac:dyDescent="0.2">
      <c r="A102" s="247"/>
      <c r="B102" s="320"/>
      <c r="C102" s="321"/>
      <c r="D102" s="335"/>
      <c r="E102" s="336"/>
      <c r="F102" s="337"/>
      <c r="G102" s="337"/>
      <c r="H102" s="338"/>
      <c r="I102" s="339"/>
      <c r="J102" s="339"/>
      <c r="K102" s="340"/>
      <c r="L102" s="257"/>
    </row>
    <row r="103" spans="1:12" ht="27.2" customHeight="1" x14ac:dyDescent="0.2">
      <c r="A103" s="341"/>
      <c r="B103" s="354" t="s">
        <v>183</v>
      </c>
      <c r="C103" s="355"/>
      <c r="D103" s="361"/>
      <c r="E103" s="362"/>
      <c r="F103" s="363"/>
      <c r="G103" s="363"/>
      <c r="H103" s="364"/>
      <c r="I103" s="363"/>
      <c r="J103" s="363"/>
      <c r="K103" s="364"/>
      <c r="L103" s="272"/>
    </row>
    <row r="104" spans="1:12" ht="9" customHeight="1" x14ac:dyDescent="0.2">
      <c r="A104" s="247"/>
      <c r="B104" s="320"/>
      <c r="C104" s="321"/>
      <c r="D104" s="335"/>
      <c r="E104" s="336"/>
      <c r="F104" s="337"/>
      <c r="G104" s="337"/>
      <c r="H104" s="338"/>
      <c r="I104" s="339"/>
      <c r="J104" s="339"/>
      <c r="K104" s="340"/>
      <c r="L104" s="257"/>
    </row>
    <row r="105" spans="1:12" ht="14.85" customHeight="1" x14ac:dyDescent="0.2">
      <c r="A105" s="289"/>
      <c r="B105" s="274" t="s">
        <v>167</v>
      </c>
      <c r="C105" s="303">
        <v>1</v>
      </c>
      <c r="D105" s="303">
        <v>1</v>
      </c>
      <c r="E105" s="276">
        <f>+D105*100/C105</f>
        <v>100</v>
      </c>
      <c r="F105" s="290">
        <v>1</v>
      </c>
      <c r="G105" s="290">
        <v>1</v>
      </c>
      <c r="H105" s="278">
        <f>+G105*100/F105</f>
        <v>100</v>
      </c>
      <c r="I105" s="290">
        <v>0.66664999999999996</v>
      </c>
      <c r="J105" s="290">
        <v>0.66666666666666496</v>
      </c>
      <c r="K105" s="278">
        <f>+J105*100/I105</f>
        <v>100.00250006250131</v>
      </c>
      <c r="L105" s="280">
        <f>+(E105+H105+K105)/3</f>
        <v>100.00083335416711</v>
      </c>
    </row>
    <row r="106" spans="1:12" ht="14.85" customHeight="1" x14ac:dyDescent="0.2">
      <c r="A106" s="247"/>
      <c r="B106" s="281" t="s">
        <v>184</v>
      </c>
      <c r="C106" s="301">
        <v>0.97777777777777797</v>
      </c>
      <c r="D106" s="301">
        <v>0.98148148148148195</v>
      </c>
      <c r="E106" s="302">
        <f>+D106*100/C106</f>
        <v>100.3787878787879</v>
      </c>
      <c r="F106" s="332">
        <v>0.96666666666666701</v>
      </c>
      <c r="G106" s="332">
        <v>0.97222222222222199</v>
      </c>
      <c r="H106" s="285">
        <f>+G106*100/F106</f>
        <v>100.5747126436781</v>
      </c>
      <c r="I106" s="292">
        <v>0.96666666666666701</v>
      </c>
      <c r="J106" s="292">
        <v>1</v>
      </c>
      <c r="K106" s="287">
        <f>+J106*100/I106</f>
        <v>103.44827586206893</v>
      </c>
      <c r="L106" s="288">
        <f>+(E106+H106+K106)/3</f>
        <v>101.46725879484499</v>
      </c>
    </row>
    <row r="107" spans="1:12" ht="21.75" customHeight="1" x14ac:dyDescent="0.2">
      <c r="A107" s="289"/>
      <c r="B107" s="274" t="s">
        <v>185</v>
      </c>
      <c r="C107" s="303">
        <v>0.57999999999999996</v>
      </c>
      <c r="D107" s="303">
        <v>0.58129448786507598</v>
      </c>
      <c r="E107" s="276">
        <f>+D107*100/C107</f>
        <v>100.22318756294413</v>
      </c>
      <c r="F107" s="290">
        <v>0.57999999999999996</v>
      </c>
      <c r="G107" s="290">
        <v>0.65745388450262998</v>
      </c>
      <c r="H107" s="278">
        <f>+G107*100/F107</f>
        <v>113.35411801769483</v>
      </c>
      <c r="I107" s="290">
        <v>0.57999999999999996</v>
      </c>
      <c r="J107" s="290">
        <v>0.59050212081501396</v>
      </c>
      <c r="K107" s="278">
        <f>+J107*100/I107</f>
        <v>101.81071048534724</v>
      </c>
      <c r="L107" s="280">
        <f>+(E107+H107+K107)/3</f>
        <v>105.12933868866207</v>
      </c>
    </row>
    <row r="108" spans="1:12" ht="14.65" customHeight="1" x14ac:dyDescent="0.2">
      <c r="A108" s="247"/>
      <c r="B108" s="320"/>
      <c r="C108" s="321"/>
      <c r="D108" s="335"/>
      <c r="E108" s="336"/>
      <c r="F108" s="337"/>
      <c r="G108" s="337"/>
      <c r="H108" s="338"/>
      <c r="I108" s="339"/>
      <c r="J108" s="339"/>
      <c r="K108" s="340"/>
      <c r="L108" s="257"/>
    </row>
    <row r="109" spans="1:12" ht="24.75" customHeight="1" x14ac:dyDescent="0.2">
      <c r="A109" s="341"/>
      <c r="B109" s="354" t="s">
        <v>217</v>
      </c>
      <c r="C109" s="355"/>
      <c r="D109" s="361"/>
      <c r="E109" s="362"/>
      <c r="F109" s="363"/>
      <c r="G109" s="363"/>
      <c r="H109" s="364"/>
      <c r="I109" s="363"/>
      <c r="J109" s="363"/>
      <c r="K109" s="364"/>
      <c r="L109" s="272"/>
    </row>
    <row r="110" spans="1:12" ht="8.25" customHeight="1" x14ac:dyDescent="0.2">
      <c r="A110" s="247"/>
      <c r="B110" s="358"/>
      <c r="C110" s="321"/>
      <c r="D110" s="335"/>
      <c r="E110" s="336"/>
      <c r="F110" s="337"/>
      <c r="G110" s="337"/>
      <c r="H110" s="338"/>
      <c r="I110" s="339"/>
      <c r="J110" s="339"/>
      <c r="K110" s="340"/>
      <c r="L110" s="257"/>
    </row>
    <row r="111" spans="1:12" ht="14.85" customHeight="1" x14ac:dyDescent="0.2">
      <c r="A111" s="289"/>
      <c r="B111" s="274" t="s">
        <v>186</v>
      </c>
      <c r="C111" s="303">
        <v>0.10199999999999999</v>
      </c>
      <c r="D111" s="303">
        <v>7.4766612378574404E-2</v>
      </c>
      <c r="E111" s="276">
        <f>+D111*100/C111</f>
        <v>73.300600371151376</v>
      </c>
      <c r="F111" s="290">
        <v>9.4E-2</v>
      </c>
      <c r="G111" s="290">
        <v>0.23896580868877801</v>
      </c>
      <c r="H111" s="278">
        <f>+G111*100/F111</f>
        <v>254.21894541359364</v>
      </c>
      <c r="I111" s="290">
        <v>9.4E-2</v>
      </c>
      <c r="J111" s="290">
        <v>7.2692336214027001E-2</v>
      </c>
      <c r="K111" s="278">
        <f>+J111*100/I111</f>
        <v>77.332272568113822</v>
      </c>
      <c r="L111" s="280">
        <f>+(E111+H111+K111)/3</f>
        <v>134.9506061176196</v>
      </c>
    </row>
    <row r="112" spans="1:12" ht="35.25" customHeight="1" x14ac:dyDescent="0.2">
      <c r="A112" s="294"/>
      <c r="B112" s="295" t="s">
        <v>187</v>
      </c>
      <c r="C112" s="301">
        <v>1</v>
      </c>
      <c r="D112" s="301">
        <v>1</v>
      </c>
      <c r="E112" s="302">
        <f>+D112*100/C112</f>
        <v>100</v>
      </c>
      <c r="F112" s="315">
        <v>1</v>
      </c>
      <c r="G112" s="315">
        <v>1</v>
      </c>
      <c r="H112" s="287">
        <f>+G112*100/F112</f>
        <v>100</v>
      </c>
      <c r="I112" s="315">
        <v>1</v>
      </c>
      <c r="J112" s="315">
        <v>1</v>
      </c>
      <c r="K112" s="287">
        <f>+J112*100/I112</f>
        <v>100</v>
      </c>
      <c r="L112" s="296">
        <f>+(E112+H112+K112)/3</f>
        <v>100</v>
      </c>
    </row>
    <row r="113" spans="1:12" ht="52.5" customHeight="1" x14ac:dyDescent="0.2">
      <c r="A113" s="289"/>
      <c r="B113" s="274" t="s">
        <v>218</v>
      </c>
      <c r="C113" s="303">
        <v>1</v>
      </c>
      <c r="D113" s="303">
        <v>1</v>
      </c>
      <c r="E113" s="276">
        <f>+D113*100/C113</f>
        <v>100</v>
      </c>
      <c r="F113" s="314">
        <v>1</v>
      </c>
      <c r="G113" s="314">
        <v>0.68137254901960698</v>
      </c>
      <c r="H113" s="278">
        <f>+G113*100/F113</f>
        <v>68.137254901960702</v>
      </c>
      <c r="I113" s="314">
        <v>1</v>
      </c>
      <c r="J113" s="314">
        <v>1</v>
      </c>
      <c r="K113" s="278">
        <f>+J113*100/I113</f>
        <v>100</v>
      </c>
      <c r="L113" s="280">
        <f>+(E113+H113+K113)/3</f>
        <v>89.379084967320239</v>
      </c>
    </row>
    <row r="114" spans="1:12" ht="14.85" customHeight="1" x14ac:dyDescent="0.2">
      <c r="A114" s="294"/>
      <c r="B114" s="295"/>
      <c r="C114" s="321"/>
      <c r="D114" s="335"/>
      <c r="E114" s="302"/>
      <c r="F114" s="370"/>
      <c r="G114" s="367"/>
      <c r="H114" s="287"/>
      <c r="I114" s="370"/>
      <c r="J114" s="367"/>
      <c r="K114" s="287"/>
      <c r="L114" s="296"/>
    </row>
    <row r="115" spans="1:12" ht="14.65" customHeight="1" x14ac:dyDescent="0.2">
      <c r="A115" s="247"/>
      <c r="B115" s="358"/>
      <c r="C115" s="321"/>
      <c r="D115" s="291"/>
      <c r="E115" s="371"/>
      <c r="F115" s="253"/>
      <c r="G115" s="253"/>
      <c r="H115" s="372"/>
      <c r="I115" s="254"/>
      <c r="J115" s="254"/>
      <c r="K115" s="373"/>
      <c r="L115" s="257"/>
    </row>
    <row r="116" spans="1:12" ht="27" customHeight="1" x14ac:dyDescent="0.2">
      <c r="A116" s="374"/>
      <c r="B116" s="354" t="s">
        <v>219</v>
      </c>
      <c r="C116" s="355"/>
      <c r="D116" s="361"/>
      <c r="E116" s="362"/>
      <c r="F116" s="363"/>
      <c r="G116" s="363"/>
      <c r="H116" s="364"/>
      <c r="I116" s="363"/>
      <c r="J116" s="363"/>
      <c r="K116" s="364"/>
      <c r="L116" s="272"/>
    </row>
    <row r="117" spans="1:12" ht="8.25" customHeight="1" x14ac:dyDescent="0.2">
      <c r="A117" s="247"/>
      <c r="B117" s="358"/>
      <c r="C117" s="321"/>
      <c r="D117" s="291"/>
      <c r="E117" s="371"/>
      <c r="F117" s="253"/>
      <c r="G117" s="253"/>
      <c r="H117" s="372"/>
      <c r="I117" s="254"/>
      <c r="J117" s="254"/>
      <c r="K117" s="373"/>
      <c r="L117" s="257"/>
    </row>
    <row r="118" spans="1:12" ht="14.65" customHeight="1" x14ac:dyDescent="0.2">
      <c r="B118" s="375"/>
      <c r="C118" s="376"/>
      <c r="D118" s="377"/>
      <c r="E118" s="378"/>
      <c r="F118" s="379"/>
      <c r="G118" s="379"/>
      <c r="H118" s="380"/>
      <c r="I118" s="381"/>
      <c r="J118" s="381"/>
      <c r="K118" s="382"/>
      <c r="L118" s="257"/>
    </row>
    <row r="119" spans="1:12" ht="44.25" customHeight="1" x14ac:dyDescent="0.2">
      <c r="A119" s="289"/>
      <c r="B119" s="274" t="s">
        <v>220</v>
      </c>
      <c r="C119" s="383">
        <v>1</v>
      </c>
      <c r="D119" s="383">
        <v>1</v>
      </c>
      <c r="E119" s="304">
        <f>+D119*100/C119</f>
        <v>100</v>
      </c>
      <c r="F119" s="314">
        <v>1</v>
      </c>
      <c r="G119" s="314">
        <v>1</v>
      </c>
      <c r="H119" s="305">
        <f>+G119*100/F119</f>
        <v>100</v>
      </c>
      <c r="I119" s="290">
        <v>1</v>
      </c>
      <c r="J119" s="290">
        <v>1</v>
      </c>
      <c r="K119" s="305">
        <f>+J119*100/I119</f>
        <v>100</v>
      </c>
      <c r="L119" s="306">
        <f>+(E119+H119+K119)/3</f>
        <v>100</v>
      </c>
    </row>
    <row r="65524" ht="12.75" customHeight="1" x14ac:dyDescent="0.2"/>
    <row r="65525" ht="12.75" customHeight="1" x14ac:dyDescent="0.2"/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  <row r="65531" ht="12.75" customHeight="1" x14ac:dyDescent="0.2"/>
    <row r="65532" ht="12.75" customHeight="1" x14ac:dyDescent="0.2"/>
    <row r="65533" ht="12.75" customHeight="1" x14ac:dyDescent="0.2"/>
    <row r="65534" ht="12.75" customHeight="1" x14ac:dyDescent="0.2"/>
    <row r="65535" ht="12.75" customHeight="1" x14ac:dyDescent="0.2"/>
    <row r="65536" ht="12.75" customHeight="1" x14ac:dyDescent="0.2"/>
  </sheetData>
  <mergeCells count="9">
    <mergeCell ref="B7:L7"/>
    <mergeCell ref="B8:L8"/>
    <mergeCell ref="B9:L9"/>
    <mergeCell ref="B11:L11"/>
    <mergeCell ref="B13:B14"/>
    <mergeCell ref="C13:E13"/>
    <mergeCell ref="F13:H13"/>
    <mergeCell ref="I13:K13"/>
    <mergeCell ref="L13:L14"/>
  </mergeCells>
  <pageMargins left="0.57013888888888897" right="0.45" top="0.45972222222222198" bottom="1" header="0.51180555555555496" footer="0"/>
  <pageSetup paperSize="0" scale="0" firstPageNumber="0" orientation="portrait" usePrinterDefaults="0" horizontalDpi="0" verticalDpi="0" copies="0"/>
  <headerFooter>
    <oddFooter>&amp;CPágina &amp;P de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10601</vt:lpstr>
      <vt:lpstr>10602</vt:lpstr>
      <vt:lpstr>10610</vt:lpstr>
      <vt:lpstr>10614</vt:lpstr>
      <vt:lpstr>50603</vt:lpstr>
      <vt:lpstr>50604</vt:lpstr>
      <vt:lpstr>'10602'!Área_de_impresión</vt:lpstr>
      <vt:lpstr>'10610'!Área_de_impresión</vt:lpstr>
      <vt:lpstr>'50603'!Área_de_impresión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2019-05-15T15:26:20Z</cp:lastPrinted>
  <dcterms:created xsi:type="dcterms:W3CDTF">2005-11-28T14:59:09Z</dcterms:created>
  <dcterms:modified xsi:type="dcterms:W3CDTF">2019-05-15T18:53:41Z</dcterms:modified>
</cp:coreProperties>
</file>